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5.xml" ContentType="application/vnd.openxmlformats-officedocument.drawing+xml"/>
  <Override PartName="/xl/comments3.xml" ContentType="application/vnd.openxmlformats-officedocument.spreadsheetml.comments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6.xml" ContentType="application/vnd.openxmlformats-officedocument.drawing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7.xml" ContentType="application/vnd.openxmlformats-officedocument.drawing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drawings/drawing10.xml" ContentType="application/vnd.openxmlformats-officedocument.drawing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3040" windowHeight="9120" tabRatio="974" firstSheet="16" activeTab="22"/>
  </bookViews>
  <sheets>
    <sheet name="STRONA" sheetId="16" r:id="rId1"/>
    <sheet name="Wskaźniki emisji 2010r" sheetId="28" r:id="rId2"/>
    <sheet name="Wskaźniki emisji 2015r" sheetId="5" r:id="rId3"/>
    <sheet name="Obiekty publiczne 2010r" sheetId="17" r:id="rId4"/>
    <sheet name="Obiekty publiczne 2015r" sheetId="29" r:id="rId5"/>
    <sheet name="Podsumowanie- Obiekty publiczne" sheetId="31" r:id="rId6"/>
    <sheet name="Transport- rok bazowy " sheetId="30" r:id="rId7"/>
    <sheet name="Transport- rok kontrolny" sheetId="11" r:id="rId8"/>
    <sheet name="Owietlenie uliczne" sheetId="7" r:id="rId9"/>
    <sheet name="Obiekty prywatne" sheetId="15" r:id="rId10"/>
    <sheet name="Podsumowanie- Obiekty prywatne" sheetId="32" r:id="rId11"/>
    <sheet name="Przedsiębiorcy 2010 r." sheetId="18" r:id="rId12"/>
    <sheet name="Przedsiębiorcy 2015 r." sheetId="33" r:id="rId13"/>
    <sheet name="Podsumowanie- Przedsiębiorcy" sheetId="34" r:id="rId14"/>
    <sheet name="Podsumowanie" sheetId="12" r:id="rId15"/>
    <sheet name="PLAN DZIAŁAŃ" sheetId="19" r:id="rId16"/>
    <sheet name="Prognozy ogolne" sheetId="20" r:id="rId17"/>
    <sheet name="Prognoza transport lokalny" sheetId="22" r:id="rId18"/>
    <sheet name="Prognoza transport suma" sheetId="24" r:id="rId19"/>
    <sheet name="Prognozy podsumowanie" sheetId="25" r:id="rId20"/>
    <sheet name="Prognoza OZE" sheetId="27" r:id="rId21"/>
    <sheet name="Emisja pozostałych pyłów,gazów" sheetId="35" r:id="rId22"/>
    <sheet name="Prognoza emisji innych gazów" sheetId="36" r:id="rId23"/>
  </sheets>
  <externalReferences>
    <externalReference r:id="rId24"/>
  </externalReferences>
  <definedNames>
    <definedName name="_xlnm._FilterDatabase" localSheetId="9" hidden="1">'Obiekty prywatne'!$A$1:$W$133</definedName>
    <definedName name="_xlnm._FilterDatabase" localSheetId="11" hidden="1">'Przedsiębiorcy 2010 r.'!$A$1:$I$19</definedName>
    <definedName name="_xlnm._FilterDatabase" localSheetId="12" hidden="1">'Przedsiębiorcy 2015 r.'!$A$1:$I$10</definedName>
    <definedName name="_xlnm.Print_Area" localSheetId="21">'Emisja pozostałych pyłów,gazów'!$A$1:$M$50</definedName>
    <definedName name="_xlnm.Print_Area" localSheetId="9">'Obiekty prywatne'!$A$1:$W$133</definedName>
    <definedName name="_xlnm.Print_Area" localSheetId="3">'Obiekty publiczne 2010r'!$A$1:$O$12</definedName>
    <definedName name="_xlnm.Print_Area" localSheetId="4">'Obiekty publiczne 2015r'!$A$1:$O$12</definedName>
    <definedName name="_xlnm.Print_Area" localSheetId="8">'Owietlenie uliczne'!$A$1:$H$11</definedName>
    <definedName name="_xlnm.Print_Area" localSheetId="15">'PLAN DZIAŁAŃ'!$A$1:$M$17</definedName>
    <definedName name="_xlnm.Print_Area" localSheetId="14">Podsumowanie!$A$1:$C$100</definedName>
    <definedName name="_xlnm.Print_Area" localSheetId="10">'Podsumowanie- Obiekty prywatne'!$A$1:$Q$52</definedName>
    <definedName name="_xlnm.Print_Area" localSheetId="5">'Podsumowanie- Obiekty publiczne'!$A$1:$Q$52</definedName>
    <definedName name="_xlnm.Print_Area" localSheetId="13">'Podsumowanie- Przedsiębiorcy'!$A$1:$Q$52</definedName>
    <definedName name="_xlnm.Print_Area" localSheetId="22">'Prognoza emisji innych gazów'!$A$1:$H$54</definedName>
    <definedName name="_xlnm.Print_Area" localSheetId="17">'Prognoza transport lokalny'!$A$1:$F$71</definedName>
    <definedName name="_xlnm.Print_Area" localSheetId="18">'Prognoza transport suma'!$A$1:$H$43</definedName>
    <definedName name="_xlnm.Print_Area" localSheetId="16">'Prognozy ogolne'!$A$1:$S$104</definedName>
    <definedName name="_xlnm.Print_Area" localSheetId="19">'Prognozy podsumowanie'!$A$1:$H$97</definedName>
    <definedName name="_xlnm.Print_Area" localSheetId="11">'Przedsiębiorcy 2010 r.'!$A$1:$I$19</definedName>
    <definedName name="_xlnm.Print_Area" localSheetId="12">'Przedsiębiorcy 2015 r.'!$A$1:$I$10</definedName>
    <definedName name="_xlnm.Print_Area" localSheetId="0">STRONA!$A$1:$K$44</definedName>
    <definedName name="_xlnm.Print_Area" localSheetId="6">'Transport- rok bazowy '!$A$1:$H$62</definedName>
    <definedName name="_xlnm.Print_Area" localSheetId="7">'Transport- rok kontrolny'!$A$1:$H$62</definedName>
    <definedName name="_xlnm.Print_Area" localSheetId="1">'Wskaźniki emisji 2010r'!$A$1:$E$23</definedName>
    <definedName name="_xlnm.Print_Area" localSheetId="2">'Wskaźniki emisji 2015r'!$A$1:$E$23</definedName>
  </definedNames>
  <calcPr calcId="152511"/>
</workbook>
</file>

<file path=xl/calcChain.xml><?xml version="1.0" encoding="utf-8"?>
<calcChain xmlns="http://schemas.openxmlformats.org/spreadsheetml/2006/main">
  <c r="D67" i="12" l="1"/>
  <c r="D68" i="12"/>
  <c r="D69" i="12"/>
  <c r="D70" i="12"/>
  <c r="D71" i="12"/>
  <c r="D72" i="12"/>
  <c r="D73" i="12"/>
  <c r="D74" i="12"/>
  <c r="D66" i="12"/>
  <c r="D6" i="12"/>
  <c r="D7" i="12"/>
  <c r="D8" i="12"/>
  <c r="D9" i="12"/>
  <c r="D10" i="12"/>
  <c r="D5" i="12"/>
  <c r="H3" i="19"/>
  <c r="F4" i="36" s="1"/>
  <c r="F52" i="36"/>
  <c r="F49" i="36"/>
  <c r="F48" i="36"/>
  <c r="F41" i="36"/>
  <c r="F38" i="36"/>
  <c r="F37" i="36"/>
  <c r="F30" i="36"/>
  <c r="F27" i="36"/>
  <c r="F26" i="36"/>
  <c r="F19" i="36"/>
  <c r="F16" i="36"/>
  <c r="F15" i="36"/>
  <c r="F8" i="36"/>
  <c r="F5" i="36"/>
  <c r="F55" i="25"/>
  <c r="F54" i="25"/>
  <c r="F52" i="25"/>
  <c r="F51" i="25"/>
  <c r="F8" i="25"/>
  <c r="F7" i="25"/>
  <c r="F5" i="25"/>
  <c r="F4" i="25"/>
  <c r="L6" i="19" l="1"/>
  <c r="L7" i="19"/>
  <c r="L8" i="19"/>
  <c r="L5" i="19"/>
  <c r="K6" i="19"/>
  <c r="K7" i="19"/>
  <c r="K8" i="19"/>
  <c r="K5" i="19"/>
  <c r="J6" i="19"/>
  <c r="J7" i="19"/>
  <c r="J8" i="19"/>
  <c r="J5" i="19"/>
  <c r="I6" i="19"/>
  <c r="I7" i="19"/>
  <c r="I8" i="19"/>
  <c r="I5" i="19"/>
  <c r="H6" i="19"/>
  <c r="H7" i="19"/>
  <c r="H8" i="19"/>
  <c r="H5" i="19"/>
  <c r="F7" i="19"/>
  <c r="F8" i="19"/>
  <c r="F6" i="19"/>
  <c r="F5" i="19"/>
  <c r="F9" i="19"/>
  <c r="E9" i="19"/>
  <c r="E8" i="19"/>
  <c r="E7" i="19"/>
  <c r="E6" i="19"/>
  <c r="E5" i="19"/>
  <c r="C9" i="19"/>
  <c r="C5" i="19"/>
  <c r="C6" i="19" s="1"/>
  <c r="C7" i="19" s="1"/>
  <c r="C8" i="19" s="1"/>
  <c r="E10" i="29"/>
  <c r="E11" i="29"/>
  <c r="E12" i="29"/>
  <c r="E9" i="29"/>
  <c r="D55" i="25" l="1"/>
  <c r="D8" i="25"/>
  <c r="D9" i="27"/>
  <c r="C52" i="36"/>
  <c r="C49" i="36"/>
  <c r="B52" i="36"/>
  <c r="B49" i="36"/>
  <c r="C41" i="36"/>
  <c r="C38" i="36"/>
  <c r="B41" i="36"/>
  <c r="B38" i="36"/>
  <c r="C30" i="36"/>
  <c r="B30" i="36"/>
  <c r="C27" i="36"/>
  <c r="B27" i="36"/>
  <c r="C19" i="36"/>
  <c r="B19" i="36"/>
  <c r="C16" i="36"/>
  <c r="B16" i="36"/>
  <c r="C8" i="36"/>
  <c r="C5" i="36"/>
  <c r="B8" i="36"/>
  <c r="B5" i="36"/>
  <c r="G39" i="35"/>
  <c r="F39" i="35"/>
  <c r="E39" i="35"/>
  <c r="D39" i="35"/>
  <c r="C39" i="35"/>
  <c r="B39" i="35"/>
  <c r="G33" i="35"/>
  <c r="F33" i="35"/>
  <c r="E33" i="35"/>
  <c r="D33" i="35"/>
  <c r="C33" i="35"/>
  <c r="B33" i="35"/>
  <c r="A39" i="35"/>
  <c r="F26" i="35"/>
  <c r="E26" i="35"/>
  <c r="D26" i="35"/>
  <c r="C26" i="35"/>
  <c r="B26" i="35"/>
  <c r="F25" i="35"/>
  <c r="E25" i="35"/>
  <c r="D25" i="35"/>
  <c r="C25" i="35"/>
  <c r="B25" i="35"/>
  <c r="A26" i="35"/>
  <c r="F21" i="35"/>
  <c r="E21" i="35"/>
  <c r="D21" i="35"/>
  <c r="C21" i="35"/>
  <c r="B21" i="35"/>
  <c r="F20" i="35"/>
  <c r="E20" i="35"/>
  <c r="D20" i="35"/>
  <c r="C20" i="35"/>
  <c r="B20" i="35"/>
  <c r="B19" i="35"/>
  <c r="E15" i="19"/>
  <c r="H10" i="27" s="1"/>
  <c r="E16" i="19"/>
  <c r="D16" i="19"/>
  <c r="C9" i="34"/>
  <c r="E9" i="34"/>
  <c r="F9" i="34"/>
  <c r="G9" i="34"/>
  <c r="F89" i="20"/>
  <c r="G89" i="20"/>
  <c r="H89" i="20" s="1"/>
  <c r="I89" i="20" s="1"/>
  <c r="J89" i="20" s="1"/>
  <c r="K89" i="20" s="1"/>
  <c r="L89" i="20" s="1"/>
  <c r="M89" i="20" s="1"/>
  <c r="N89" i="20" s="1"/>
  <c r="O89" i="20" s="1"/>
  <c r="P89" i="20" s="1"/>
  <c r="Q89" i="20" s="1"/>
  <c r="R89" i="20" s="1"/>
  <c r="S89" i="20" s="1"/>
  <c r="E89" i="20"/>
  <c r="C13" i="19"/>
  <c r="C16" i="19"/>
  <c r="D17" i="34"/>
  <c r="D13" i="34"/>
  <c r="D17" i="32"/>
  <c r="D13" i="32"/>
  <c r="Q26" i="30"/>
  <c r="N22" i="30"/>
  <c r="P3" i="22"/>
  <c r="F4" i="22"/>
  <c r="C4" i="22" s="1"/>
  <c r="F5" i="22"/>
  <c r="F6" i="22"/>
  <c r="F7" i="22"/>
  <c r="F3" i="22"/>
  <c r="C3" i="22" s="1"/>
  <c r="F10" i="22"/>
  <c r="F11" i="22"/>
  <c r="F12" i="22"/>
  <c r="F13" i="22"/>
  <c r="F9" i="22"/>
  <c r="F16" i="22"/>
  <c r="F17" i="22"/>
  <c r="F18" i="22"/>
  <c r="F19" i="22"/>
  <c r="F15" i="22"/>
  <c r="F22" i="22"/>
  <c r="F23" i="22"/>
  <c r="F24" i="22"/>
  <c r="F25" i="22"/>
  <c r="F21" i="22"/>
  <c r="F28" i="22"/>
  <c r="F29" i="22"/>
  <c r="F30" i="22"/>
  <c r="F31" i="22"/>
  <c r="F27" i="22"/>
  <c r="D39" i="22"/>
  <c r="C40" i="22"/>
  <c r="C39" i="22"/>
  <c r="F39" i="22"/>
  <c r="F37" i="22"/>
  <c r="F36" i="22"/>
  <c r="F35" i="22"/>
  <c r="F34" i="22"/>
  <c r="F33" i="22"/>
  <c r="H4" i="7"/>
  <c r="G10" i="7"/>
  <c r="E10" i="7"/>
  <c r="G4" i="7"/>
  <c r="E9" i="7"/>
  <c r="F13" i="34"/>
  <c r="G5" i="34"/>
  <c r="I152" i="15"/>
  <c r="H152" i="15"/>
  <c r="I151" i="15"/>
  <c r="H151" i="15"/>
  <c r="I150" i="15"/>
  <c r="H150" i="15"/>
  <c r="D9" i="34"/>
  <c r="D5" i="34"/>
  <c r="F5" i="34"/>
  <c r="E5" i="34"/>
  <c r="C5" i="34"/>
  <c r="D18" i="18"/>
  <c r="G18" i="18" s="1"/>
  <c r="I18" i="18" s="1"/>
  <c r="D17" i="18"/>
  <c r="G17" i="18" s="1"/>
  <c r="I17" i="18" s="1"/>
  <c r="D16" i="18"/>
  <c r="D15" i="18"/>
  <c r="G15" i="18" s="1"/>
  <c r="I15" i="18" s="1"/>
  <c r="D3" i="33"/>
  <c r="I4" i="33"/>
  <c r="I6" i="33"/>
  <c r="I7" i="33"/>
  <c r="I8" i="33"/>
  <c r="I9" i="33"/>
  <c r="I10" i="33"/>
  <c r="H4" i="33"/>
  <c r="H5" i="33"/>
  <c r="H6" i="33"/>
  <c r="H7" i="33"/>
  <c r="H8" i="33"/>
  <c r="H9" i="33"/>
  <c r="H10" i="33"/>
  <c r="G4" i="33"/>
  <c r="G5" i="33"/>
  <c r="I5" i="33" s="1"/>
  <c r="G6" i="33"/>
  <c r="G7" i="33"/>
  <c r="G8" i="33"/>
  <c r="G9" i="33"/>
  <c r="G10" i="33"/>
  <c r="F4" i="33"/>
  <c r="F5" i="33"/>
  <c r="F6" i="33"/>
  <c r="F7" i="33"/>
  <c r="F8" i="33"/>
  <c r="F9" i="33"/>
  <c r="F10" i="33"/>
  <c r="D9" i="33"/>
  <c r="B9" i="33"/>
  <c r="B7" i="33"/>
  <c r="G4" i="18"/>
  <c r="G5" i="18"/>
  <c r="G6" i="18"/>
  <c r="G7" i="18"/>
  <c r="G8" i="18"/>
  <c r="G9" i="18"/>
  <c r="I9" i="18" s="1"/>
  <c r="G10" i="18"/>
  <c r="I10" i="18" s="1"/>
  <c r="G11" i="18"/>
  <c r="I11" i="18" s="1"/>
  <c r="G12" i="18"/>
  <c r="G13" i="18"/>
  <c r="G14" i="18"/>
  <c r="G16" i="18"/>
  <c r="I16" i="18" s="1"/>
  <c r="G19" i="18"/>
  <c r="G3" i="18"/>
  <c r="I3" i="18" s="1"/>
  <c r="I4" i="18"/>
  <c r="I5" i="18"/>
  <c r="I6" i="18"/>
  <c r="I7" i="18"/>
  <c r="I8" i="18"/>
  <c r="I12" i="18"/>
  <c r="I13" i="18"/>
  <c r="I14" i="18"/>
  <c r="I19" i="18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3" i="18"/>
  <c r="F4" i="18"/>
  <c r="F5" i="18"/>
  <c r="F6" i="18"/>
  <c r="F7" i="18"/>
  <c r="F8" i="18"/>
  <c r="F9" i="18"/>
  <c r="F10" i="18"/>
  <c r="F11" i="18"/>
  <c r="F12" i="18"/>
  <c r="F13" i="18"/>
  <c r="F14" i="18"/>
  <c r="F15" i="18"/>
  <c r="F16" i="18"/>
  <c r="F17" i="18"/>
  <c r="F18" i="18"/>
  <c r="F19" i="18"/>
  <c r="D14" i="18"/>
  <c r="D10" i="18"/>
  <c r="D8" i="18"/>
  <c r="D3" i="18"/>
  <c r="E5" i="32"/>
  <c r="G26" i="35" l="1"/>
  <c r="G21" i="35"/>
  <c r="D5" i="32"/>
  <c r="G9" i="32"/>
  <c r="D9" i="32"/>
  <c r="F143" i="15"/>
  <c r="U4" i="15"/>
  <c r="U5" i="15"/>
  <c r="U6" i="15"/>
  <c r="U7" i="15"/>
  <c r="U8" i="15"/>
  <c r="U9" i="15"/>
  <c r="U10" i="15"/>
  <c r="U11" i="15"/>
  <c r="U12" i="15"/>
  <c r="U13" i="15"/>
  <c r="U14" i="15"/>
  <c r="U15" i="15"/>
  <c r="U16" i="15"/>
  <c r="U17" i="15"/>
  <c r="U18" i="15"/>
  <c r="U19" i="15"/>
  <c r="U20" i="15"/>
  <c r="U21" i="15"/>
  <c r="U22" i="15"/>
  <c r="U23" i="15"/>
  <c r="U24" i="15"/>
  <c r="U25" i="15"/>
  <c r="U26" i="15"/>
  <c r="U27" i="15"/>
  <c r="U28" i="15"/>
  <c r="U29" i="15"/>
  <c r="U30" i="15"/>
  <c r="U31" i="15"/>
  <c r="U32" i="15"/>
  <c r="U33" i="15"/>
  <c r="U34" i="15"/>
  <c r="U35" i="15"/>
  <c r="U36" i="15"/>
  <c r="U37" i="15"/>
  <c r="U38" i="15"/>
  <c r="U39" i="15"/>
  <c r="U40" i="15"/>
  <c r="U41" i="15"/>
  <c r="U42" i="15"/>
  <c r="U43" i="15"/>
  <c r="U44" i="15"/>
  <c r="U45" i="15"/>
  <c r="U46" i="15"/>
  <c r="U47" i="15"/>
  <c r="U48" i="15"/>
  <c r="U49" i="15"/>
  <c r="U50" i="15"/>
  <c r="U51" i="15"/>
  <c r="U52" i="15"/>
  <c r="U53" i="15"/>
  <c r="U54" i="15"/>
  <c r="U55" i="15"/>
  <c r="U56" i="15"/>
  <c r="U57" i="15"/>
  <c r="U58" i="15"/>
  <c r="U59" i="15"/>
  <c r="U60" i="15"/>
  <c r="U61" i="15"/>
  <c r="U62" i="15"/>
  <c r="U63" i="15"/>
  <c r="U64" i="15"/>
  <c r="U65" i="15"/>
  <c r="U66" i="15"/>
  <c r="U67" i="15"/>
  <c r="U68" i="15"/>
  <c r="U69" i="15"/>
  <c r="U70" i="15"/>
  <c r="U71" i="15"/>
  <c r="U72" i="15"/>
  <c r="U73" i="15"/>
  <c r="U74" i="15"/>
  <c r="U75" i="15"/>
  <c r="U76" i="15"/>
  <c r="U77" i="15"/>
  <c r="U78" i="15"/>
  <c r="U79" i="15"/>
  <c r="U80" i="15"/>
  <c r="U81" i="15"/>
  <c r="U82" i="15"/>
  <c r="U83" i="15"/>
  <c r="U84" i="15"/>
  <c r="U85" i="15"/>
  <c r="U86" i="15"/>
  <c r="U87" i="15"/>
  <c r="U88" i="15"/>
  <c r="U89" i="15"/>
  <c r="U90" i="15"/>
  <c r="U91" i="15"/>
  <c r="U92" i="15"/>
  <c r="U93" i="15"/>
  <c r="U94" i="15"/>
  <c r="U95" i="15"/>
  <c r="U96" i="15"/>
  <c r="U97" i="15"/>
  <c r="U98" i="15"/>
  <c r="U99" i="15"/>
  <c r="U100" i="15"/>
  <c r="U101" i="15"/>
  <c r="U102" i="15"/>
  <c r="U103" i="15"/>
  <c r="U104" i="15"/>
  <c r="U105" i="15"/>
  <c r="U106" i="15"/>
  <c r="U107" i="15"/>
  <c r="U108" i="15"/>
  <c r="U109" i="15"/>
  <c r="U110" i="15"/>
  <c r="U111" i="15"/>
  <c r="U112" i="15"/>
  <c r="U113" i="15"/>
  <c r="U114" i="15"/>
  <c r="U115" i="15"/>
  <c r="U116" i="15"/>
  <c r="U117" i="15"/>
  <c r="U118" i="15"/>
  <c r="U119" i="15"/>
  <c r="U120" i="15"/>
  <c r="U121" i="15"/>
  <c r="U122" i="15"/>
  <c r="U123" i="15"/>
  <c r="U124" i="15"/>
  <c r="U125" i="15"/>
  <c r="U126" i="15"/>
  <c r="U127" i="15"/>
  <c r="U128" i="15"/>
  <c r="U129" i="15"/>
  <c r="U130" i="15"/>
  <c r="U131" i="15"/>
  <c r="U132" i="15"/>
  <c r="U133" i="15"/>
  <c r="U3" i="15"/>
  <c r="T11" i="15"/>
  <c r="T14" i="15"/>
  <c r="T21" i="15"/>
  <c r="T23" i="15"/>
  <c r="T24" i="15"/>
  <c r="T29" i="15"/>
  <c r="T32" i="15"/>
  <c r="T40" i="15"/>
  <c r="T44" i="15"/>
  <c r="T46" i="15"/>
  <c r="T49" i="15"/>
  <c r="T52" i="15"/>
  <c r="T55" i="15"/>
  <c r="T65" i="15"/>
  <c r="T67" i="15"/>
  <c r="T69" i="15"/>
  <c r="T71" i="15"/>
  <c r="T73" i="15"/>
  <c r="T76" i="15"/>
  <c r="T78" i="15"/>
  <c r="T81" i="15"/>
  <c r="T85" i="15"/>
  <c r="T89" i="15"/>
  <c r="T92" i="15"/>
  <c r="T103" i="15"/>
  <c r="T106" i="15"/>
  <c r="T114" i="15"/>
  <c r="T124" i="15"/>
  <c r="T127" i="15"/>
  <c r="T129" i="15"/>
  <c r="T4" i="15"/>
  <c r="T6" i="15"/>
  <c r="T9" i="15"/>
  <c r="S4" i="15"/>
  <c r="S5" i="15"/>
  <c r="S6" i="15"/>
  <c r="S7" i="15"/>
  <c r="S8" i="15"/>
  <c r="S9" i="15"/>
  <c r="V9" i="15" s="1"/>
  <c r="W9" i="15" s="1"/>
  <c r="S10" i="15"/>
  <c r="S11" i="15"/>
  <c r="V11" i="15" s="1"/>
  <c r="W11" i="15" s="1"/>
  <c r="S12" i="15"/>
  <c r="S13" i="15"/>
  <c r="S14" i="15"/>
  <c r="V14" i="15" s="1"/>
  <c r="S15" i="15"/>
  <c r="S16" i="15"/>
  <c r="S17" i="15"/>
  <c r="S18" i="15"/>
  <c r="S19" i="15"/>
  <c r="S20" i="15"/>
  <c r="S21" i="15"/>
  <c r="V21" i="15" s="1"/>
  <c r="S22" i="15"/>
  <c r="S23" i="15"/>
  <c r="S24" i="15"/>
  <c r="S25" i="15"/>
  <c r="S26" i="15"/>
  <c r="S27" i="15"/>
  <c r="S28" i="15"/>
  <c r="S29" i="15"/>
  <c r="V29" i="15" s="1"/>
  <c r="S30" i="15"/>
  <c r="S31" i="15"/>
  <c r="S32" i="15"/>
  <c r="S33" i="15"/>
  <c r="S34" i="15"/>
  <c r="S35" i="15"/>
  <c r="S36" i="15"/>
  <c r="S37" i="15"/>
  <c r="S38" i="15"/>
  <c r="S39" i="15"/>
  <c r="S40" i="15"/>
  <c r="S41" i="15"/>
  <c r="S42" i="15"/>
  <c r="S43" i="15"/>
  <c r="S44" i="15"/>
  <c r="V44" i="15" s="1"/>
  <c r="W44" i="15" s="1"/>
  <c r="S45" i="15"/>
  <c r="S46" i="15"/>
  <c r="V46" i="15" s="1"/>
  <c r="S47" i="15"/>
  <c r="S48" i="15"/>
  <c r="S49" i="15"/>
  <c r="S50" i="15"/>
  <c r="S51" i="15"/>
  <c r="S52" i="15"/>
  <c r="V52" i="15" s="1"/>
  <c r="W52" i="15" s="1"/>
  <c r="S53" i="15"/>
  <c r="S54" i="15"/>
  <c r="S55" i="15"/>
  <c r="V55" i="15" s="1"/>
  <c r="W55" i="15" s="1"/>
  <c r="S56" i="15"/>
  <c r="S57" i="15"/>
  <c r="S58" i="15"/>
  <c r="S59" i="15"/>
  <c r="S60" i="15"/>
  <c r="S61" i="15"/>
  <c r="S62" i="15"/>
  <c r="S63" i="15"/>
  <c r="S64" i="15"/>
  <c r="S65" i="15"/>
  <c r="V65" i="15" s="1"/>
  <c r="W65" i="15" s="1"/>
  <c r="S66" i="15"/>
  <c r="S67" i="15"/>
  <c r="S68" i="15"/>
  <c r="S69" i="15"/>
  <c r="S70" i="15"/>
  <c r="S71" i="15"/>
  <c r="V71" i="15" s="1"/>
  <c r="W71" i="15" s="1"/>
  <c r="S72" i="15"/>
  <c r="S73" i="15"/>
  <c r="V73" i="15" s="1"/>
  <c r="W73" i="15" s="1"/>
  <c r="S74" i="15"/>
  <c r="S75" i="15"/>
  <c r="S76" i="15"/>
  <c r="S77" i="15"/>
  <c r="S78" i="15"/>
  <c r="V78" i="15" s="1"/>
  <c r="S79" i="15"/>
  <c r="S80" i="15"/>
  <c r="S81" i="15"/>
  <c r="V81" i="15" s="1"/>
  <c r="W81" i="15" s="1"/>
  <c r="S82" i="15"/>
  <c r="S83" i="15"/>
  <c r="S84" i="15"/>
  <c r="S85" i="15"/>
  <c r="V85" i="15" s="1"/>
  <c r="S86" i="15"/>
  <c r="S87" i="15"/>
  <c r="S88" i="15"/>
  <c r="S89" i="15"/>
  <c r="V89" i="15" s="1"/>
  <c r="W89" i="15" s="1"/>
  <c r="S90" i="15"/>
  <c r="S91" i="15"/>
  <c r="S92" i="15"/>
  <c r="S93" i="15"/>
  <c r="S94" i="15"/>
  <c r="S95" i="15"/>
  <c r="S96" i="15"/>
  <c r="S97" i="15"/>
  <c r="S98" i="15"/>
  <c r="S99" i="15"/>
  <c r="S100" i="15"/>
  <c r="S101" i="15"/>
  <c r="S102" i="15"/>
  <c r="S103" i="15"/>
  <c r="V103" i="15" s="1"/>
  <c r="W103" i="15" s="1"/>
  <c r="S104" i="15"/>
  <c r="S105" i="15"/>
  <c r="S106" i="15"/>
  <c r="V106" i="15" s="1"/>
  <c r="W106" i="15" s="1"/>
  <c r="S107" i="15"/>
  <c r="S108" i="15"/>
  <c r="S109" i="15"/>
  <c r="S110" i="15"/>
  <c r="S111" i="15"/>
  <c r="S112" i="15"/>
  <c r="S113" i="15"/>
  <c r="S114" i="15"/>
  <c r="V114" i="15" s="1"/>
  <c r="W114" i="15" s="1"/>
  <c r="S115" i="15"/>
  <c r="S116" i="15"/>
  <c r="S117" i="15"/>
  <c r="S118" i="15"/>
  <c r="S119" i="15"/>
  <c r="S120" i="15"/>
  <c r="S121" i="15"/>
  <c r="S122" i="15"/>
  <c r="S123" i="15"/>
  <c r="S124" i="15"/>
  <c r="V124" i="15" s="1"/>
  <c r="W124" i="15" s="1"/>
  <c r="S125" i="15"/>
  <c r="S126" i="15"/>
  <c r="S127" i="15"/>
  <c r="V127" i="15" s="1"/>
  <c r="W127" i="15" s="1"/>
  <c r="S128" i="15"/>
  <c r="S129" i="15"/>
  <c r="V129" i="15" s="1"/>
  <c r="W129" i="15" s="1"/>
  <c r="S130" i="15"/>
  <c r="S131" i="15"/>
  <c r="S132" i="15"/>
  <c r="S133" i="15"/>
  <c r="Q132" i="15"/>
  <c r="Q130" i="15"/>
  <c r="Q125" i="15"/>
  <c r="Q123" i="15"/>
  <c r="Q121" i="15"/>
  <c r="Q119" i="15"/>
  <c r="Q118" i="15"/>
  <c r="Q117" i="15"/>
  <c r="Q115" i="15"/>
  <c r="Q113" i="15"/>
  <c r="Q111" i="15"/>
  <c r="Q108" i="15"/>
  <c r="Q107" i="15"/>
  <c r="Q105" i="15"/>
  <c r="I105" i="15"/>
  <c r="Q104" i="15"/>
  <c r="Q102" i="15"/>
  <c r="Q101" i="15"/>
  <c r="Q100" i="15"/>
  <c r="I100" i="15"/>
  <c r="Q98" i="15"/>
  <c r="Q97" i="15"/>
  <c r="I97" i="15"/>
  <c r="Q96" i="15"/>
  <c r="Q95" i="15"/>
  <c r="Q93" i="15"/>
  <c r="Q91" i="15"/>
  <c r="Q90" i="15"/>
  <c r="Q88" i="15"/>
  <c r="Q86" i="15"/>
  <c r="Q84" i="15"/>
  <c r="Q82" i="15"/>
  <c r="Q80" i="15"/>
  <c r="I80" i="15"/>
  <c r="Q79" i="15"/>
  <c r="Q77" i="15"/>
  <c r="I77" i="15"/>
  <c r="Q75" i="15"/>
  <c r="Q74" i="15"/>
  <c r="Q72" i="15"/>
  <c r="I72" i="15"/>
  <c r="Q70" i="15"/>
  <c r="I70" i="15"/>
  <c r="Q68" i="15"/>
  <c r="I47" i="15"/>
  <c r="I67" i="15"/>
  <c r="Q64" i="15"/>
  <c r="Q60" i="15"/>
  <c r="Q59" i="15"/>
  <c r="Q58" i="15"/>
  <c r="Q56" i="15"/>
  <c r="Q54" i="15"/>
  <c r="Q53" i="15"/>
  <c r="Q51" i="15"/>
  <c r="Q50" i="15"/>
  <c r="Q47" i="15"/>
  <c r="Q45" i="15"/>
  <c r="Q43" i="15"/>
  <c r="Q41" i="15"/>
  <c r="I42" i="15"/>
  <c r="Q39" i="15"/>
  <c r="Q37" i="15"/>
  <c r="I38" i="15"/>
  <c r="Q36" i="15"/>
  <c r="Q34" i="15"/>
  <c r="G9" i="31"/>
  <c r="G5" i="31"/>
  <c r="G4" i="17"/>
  <c r="G3" i="17"/>
  <c r="H3" i="17" s="1"/>
  <c r="V76" i="15" l="1"/>
  <c r="W76" i="15" s="1"/>
  <c r="V23" i="15"/>
  <c r="W23" i="15" s="1"/>
  <c r="G5" i="32"/>
  <c r="E12" i="19"/>
  <c r="V67" i="15"/>
  <c r="W67" i="15" s="1"/>
  <c r="V32" i="15"/>
  <c r="W32" i="15" s="1"/>
  <c r="W85" i="15"/>
  <c r="W29" i="15"/>
  <c r="W21" i="15"/>
  <c r="V4" i="15"/>
  <c r="W4" i="15" s="1"/>
  <c r="V49" i="15"/>
  <c r="W49" i="15" s="1"/>
  <c r="V40" i="15"/>
  <c r="W40" i="15" s="1"/>
  <c r="V24" i="15"/>
  <c r="W24" i="15" s="1"/>
  <c r="W78" i="15"/>
  <c r="W46" i="15"/>
  <c r="W14" i="15"/>
  <c r="V6" i="15"/>
  <c r="W6" i="15" s="1"/>
  <c r="V69" i="15"/>
  <c r="W69" i="15" s="1"/>
  <c r="V92" i="15"/>
  <c r="W92" i="15" s="1"/>
  <c r="E8" i="28"/>
  <c r="G7" i="36"/>
  <c r="F51" i="36"/>
  <c r="C51" i="36"/>
  <c r="D51" i="36" s="1"/>
  <c r="B51" i="36"/>
  <c r="F40" i="36"/>
  <c r="C40" i="36"/>
  <c r="D40" i="36" s="1"/>
  <c r="B40" i="36"/>
  <c r="F29" i="36"/>
  <c r="C29" i="36"/>
  <c r="D29" i="36" s="1"/>
  <c r="B29" i="36"/>
  <c r="C18" i="36"/>
  <c r="D18" i="36" s="1"/>
  <c r="G18" i="36" s="1"/>
  <c r="B18" i="36"/>
  <c r="D7" i="36"/>
  <c r="A22" i="35"/>
  <c r="A17" i="35"/>
  <c r="B47" i="35"/>
  <c r="A45" i="35"/>
  <c r="A50" i="35" s="1"/>
  <c r="A44" i="35"/>
  <c r="A49" i="35" s="1"/>
  <c r="A43" i="35"/>
  <c r="A48" i="35" s="1"/>
  <c r="B35" i="35"/>
  <c r="A38" i="35"/>
  <c r="A31" i="35"/>
  <c r="A37" i="35" s="1"/>
  <c r="A30" i="35"/>
  <c r="A36" i="35" s="1"/>
  <c r="A24" i="35"/>
  <c r="B23" i="35"/>
  <c r="A25" i="35"/>
  <c r="A15" i="35"/>
  <c r="K8" i="35"/>
  <c r="I8" i="35"/>
  <c r="I4" i="35"/>
  <c r="J3" i="35"/>
  <c r="G40" i="36" l="1"/>
  <c r="G51" i="36"/>
  <c r="G29" i="36"/>
  <c r="H3" i="27"/>
  <c r="I2" i="27"/>
  <c r="H2" i="27"/>
  <c r="E6" i="27"/>
  <c r="C11" i="19"/>
  <c r="D4" i="19"/>
  <c r="D11" i="19" s="1"/>
  <c r="D12" i="19" s="1"/>
  <c r="D13" i="19" s="1"/>
  <c r="D14" i="19" s="1"/>
  <c r="D15" i="19" s="1"/>
  <c r="C4" i="19"/>
  <c r="C10" i="19" s="1"/>
  <c r="D10" i="19" l="1"/>
  <c r="F65" i="12"/>
  <c r="E67" i="12"/>
  <c r="E69" i="12"/>
  <c r="E71" i="12"/>
  <c r="E73" i="12"/>
  <c r="G53" i="12"/>
  <c r="G65" i="12" s="1"/>
  <c r="E55" i="12"/>
  <c r="E56" i="12"/>
  <c r="E68" i="12" s="1"/>
  <c r="E57" i="12"/>
  <c r="E58" i="12"/>
  <c r="E70" i="12" s="1"/>
  <c r="E59" i="12"/>
  <c r="E60" i="12"/>
  <c r="E72" i="12" s="1"/>
  <c r="E61" i="12"/>
  <c r="E54" i="12"/>
  <c r="E66" i="12" s="1"/>
  <c r="E15" i="12"/>
  <c r="E12" i="12"/>
  <c r="E13" i="12"/>
  <c r="E14" i="12"/>
  <c r="E11" i="12"/>
  <c r="E6" i="12"/>
  <c r="E7" i="12"/>
  <c r="E8" i="12"/>
  <c r="E9" i="12"/>
  <c r="E5" i="12"/>
  <c r="A69" i="12"/>
  <c r="A63" i="12"/>
  <c r="A51" i="12"/>
  <c r="T3" i="20"/>
  <c r="G16" i="34"/>
  <c r="F16" i="34"/>
  <c r="E16" i="34"/>
  <c r="D16" i="34"/>
  <c r="C16" i="34"/>
  <c r="K14" i="34"/>
  <c r="B14" i="34"/>
  <c r="G12" i="34"/>
  <c r="F12" i="34"/>
  <c r="E12" i="34"/>
  <c r="D12" i="34"/>
  <c r="C12" i="34"/>
  <c r="B10" i="34"/>
  <c r="H3" i="33"/>
  <c r="F3" i="33"/>
  <c r="G3" i="33" s="1"/>
  <c r="F3" i="18"/>
  <c r="G16" i="32"/>
  <c r="F16" i="32"/>
  <c r="E16" i="32"/>
  <c r="D16" i="32"/>
  <c r="C16" i="32"/>
  <c r="B14" i="32"/>
  <c r="G12" i="32"/>
  <c r="F12" i="32"/>
  <c r="E12" i="32"/>
  <c r="C12" i="32"/>
  <c r="B10" i="32"/>
  <c r="R5" i="15"/>
  <c r="T5" i="15" s="1"/>
  <c r="V5" i="15" s="1"/>
  <c r="W5" i="15" s="1"/>
  <c r="R7" i="15"/>
  <c r="T7" i="15" s="1"/>
  <c r="V7" i="15" s="1"/>
  <c r="R8" i="15"/>
  <c r="T8" i="15" s="1"/>
  <c r="V8" i="15" s="1"/>
  <c r="W8" i="15" s="1"/>
  <c r="R10" i="15"/>
  <c r="T10" i="15" s="1"/>
  <c r="V10" i="15" s="1"/>
  <c r="W10" i="15" s="1"/>
  <c r="R12" i="15"/>
  <c r="T12" i="15" s="1"/>
  <c r="V12" i="15" s="1"/>
  <c r="W12" i="15" s="1"/>
  <c r="R13" i="15"/>
  <c r="T13" i="15" s="1"/>
  <c r="V13" i="15" s="1"/>
  <c r="W13" i="15" s="1"/>
  <c r="R15" i="15"/>
  <c r="T15" i="15" s="1"/>
  <c r="V15" i="15" s="1"/>
  <c r="W15" i="15" s="1"/>
  <c r="R16" i="15"/>
  <c r="T16" i="15" s="1"/>
  <c r="V16" i="15" s="1"/>
  <c r="W16" i="15" s="1"/>
  <c r="R17" i="15"/>
  <c r="T17" i="15" s="1"/>
  <c r="V17" i="15" s="1"/>
  <c r="W17" i="15" s="1"/>
  <c r="R18" i="15"/>
  <c r="T18" i="15" s="1"/>
  <c r="V18" i="15" s="1"/>
  <c r="W18" i="15" s="1"/>
  <c r="R19" i="15"/>
  <c r="T19" i="15" s="1"/>
  <c r="V19" i="15" s="1"/>
  <c r="W19" i="15" s="1"/>
  <c r="R20" i="15"/>
  <c r="T20" i="15" s="1"/>
  <c r="V20" i="15" s="1"/>
  <c r="W20" i="15" s="1"/>
  <c r="R22" i="15"/>
  <c r="T22" i="15" s="1"/>
  <c r="V22" i="15" s="1"/>
  <c r="W22" i="15" s="1"/>
  <c r="R25" i="15"/>
  <c r="T25" i="15" s="1"/>
  <c r="V25" i="15" s="1"/>
  <c r="W25" i="15" s="1"/>
  <c r="R26" i="15"/>
  <c r="T26" i="15" s="1"/>
  <c r="V26" i="15" s="1"/>
  <c r="W26" i="15" s="1"/>
  <c r="R27" i="15"/>
  <c r="T27" i="15" s="1"/>
  <c r="V27" i="15" s="1"/>
  <c r="W27" i="15" s="1"/>
  <c r="R28" i="15"/>
  <c r="T28" i="15" s="1"/>
  <c r="V28" i="15" s="1"/>
  <c r="R30" i="15"/>
  <c r="T30" i="15" s="1"/>
  <c r="V30" i="15" s="1"/>
  <c r="W30" i="15" s="1"/>
  <c r="R31" i="15"/>
  <c r="T31" i="15" s="1"/>
  <c r="V31" i="15" s="1"/>
  <c r="W31" i="15" s="1"/>
  <c r="R33" i="15"/>
  <c r="T33" i="15" s="1"/>
  <c r="V33" i="15" s="1"/>
  <c r="W33" i="15" s="1"/>
  <c r="R34" i="15"/>
  <c r="T34" i="15" s="1"/>
  <c r="V34" i="15" s="1"/>
  <c r="W34" i="15" s="1"/>
  <c r="R35" i="15"/>
  <c r="T35" i="15" s="1"/>
  <c r="V35" i="15" s="1"/>
  <c r="W35" i="15" s="1"/>
  <c r="R36" i="15"/>
  <c r="T36" i="15" s="1"/>
  <c r="V36" i="15" s="1"/>
  <c r="W36" i="15" s="1"/>
  <c r="R37" i="15"/>
  <c r="T37" i="15" s="1"/>
  <c r="V37" i="15" s="1"/>
  <c r="W37" i="15" s="1"/>
  <c r="R38" i="15"/>
  <c r="T38" i="15" s="1"/>
  <c r="V38" i="15" s="1"/>
  <c r="W38" i="15" s="1"/>
  <c r="R39" i="15"/>
  <c r="T39" i="15" s="1"/>
  <c r="V39" i="15" s="1"/>
  <c r="W39" i="15" s="1"/>
  <c r="R41" i="15"/>
  <c r="T41" i="15" s="1"/>
  <c r="V41" i="15" s="1"/>
  <c r="W41" i="15" s="1"/>
  <c r="R42" i="15"/>
  <c r="T42" i="15" s="1"/>
  <c r="V42" i="15" s="1"/>
  <c r="W42" i="15" s="1"/>
  <c r="R43" i="15"/>
  <c r="T43" i="15" s="1"/>
  <c r="V43" i="15" s="1"/>
  <c r="W43" i="15" s="1"/>
  <c r="R45" i="15"/>
  <c r="T45" i="15" s="1"/>
  <c r="V45" i="15" s="1"/>
  <c r="W45" i="15" s="1"/>
  <c r="R47" i="15"/>
  <c r="T47" i="15" s="1"/>
  <c r="V47" i="15" s="1"/>
  <c r="W47" i="15" s="1"/>
  <c r="R48" i="15"/>
  <c r="T48" i="15" s="1"/>
  <c r="V48" i="15" s="1"/>
  <c r="W48" i="15" s="1"/>
  <c r="R50" i="15"/>
  <c r="T50" i="15" s="1"/>
  <c r="V50" i="15" s="1"/>
  <c r="W50" i="15" s="1"/>
  <c r="R51" i="15"/>
  <c r="T51" i="15" s="1"/>
  <c r="V51" i="15" s="1"/>
  <c r="W51" i="15" s="1"/>
  <c r="R53" i="15"/>
  <c r="T53" i="15" s="1"/>
  <c r="V53" i="15" s="1"/>
  <c r="W53" i="15" s="1"/>
  <c r="R54" i="15"/>
  <c r="T54" i="15" s="1"/>
  <c r="V54" i="15" s="1"/>
  <c r="W54" i="15" s="1"/>
  <c r="R56" i="15"/>
  <c r="T56" i="15" s="1"/>
  <c r="V56" i="15" s="1"/>
  <c r="W56" i="15" s="1"/>
  <c r="R57" i="15"/>
  <c r="T57" i="15" s="1"/>
  <c r="V57" i="15" s="1"/>
  <c r="W57" i="15" s="1"/>
  <c r="R58" i="15"/>
  <c r="T58" i="15" s="1"/>
  <c r="V58" i="15" s="1"/>
  <c r="W58" i="15" s="1"/>
  <c r="R59" i="15"/>
  <c r="T59" i="15" s="1"/>
  <c r="V59" i="15" s="1"/>
  <c r="W59" i="15" s="1"/>
  <c r="R60" i="15"/>
  <c r="T60" i="15" s="1"/>
  <c r="V60" i="15" s="1"/>
  <c r="W60" i="15" s="1"/>
  <c r="R61" i="15"/>
  <c r="T61" i="15" s="1"/>
  <c r="V61" i="15" s="1"/>
  <c r="W61" i="15" s="1"/>
  <c r="R62" i="15"/>
  <c r="T62" i="15" s="1"/>
  <c r="V62" i="15" s="1"/>
  <c r="W62" i="15" s="1"/>
  <c r="R63" i="15"/>
  <c r="T63" i="15" s="1"/>
  <c r="V63" i="15" s="1"/>
  <c r="W63" i="15" s="1"/>
  <c r="R64" i="15"/>
  <c r="T64" i="15" s="1"/>
  <c r="V64" i="15" s="1"/>
  <c r="W64" i="15" s="1"/>
  <c r="R66" i="15"/>
  <c r="T66" i="15" s="1"/>
  <c r="V66" i="15" s="1"/>
  <c r="W66" i="15" s="1"/>
  <c r="R68" i="15"/>
  <c r="T68" i="15" s="1"/>
  <c r="V68" i="15" s="1"/>
  <c r="W68" i="15" s="1"/>
  <c r="R70" i="15"/>
  <c r="T70" i="15" s="1"/>
  <c r="V70" i="15" s="1"/>
  <c r="W70" i="15" s="1"/>
  <c r="R72" i="15"/>
  <c r="T72" i="15" s="1"/>
  <c r="V72" i="15" s="1"/>
  <c r="W72" i="15" s="1"/>
  <c r="R74" i="15"/>
  <c r="T74" i="15" s="1"/>
  <c r="V74" i="15" s="1"/>
  <c r="W74" i="15" s="1"/>
  <c r="R75" i="15"/>
  <c r="T75" i="15" s="1"/>
  <c r="V75" i="15" s="1"/>
  <c r="W75" i="15" s="1"/>
  <c r="R77" i="15"/>
  <c r="T77" i="15" s="1"/>
  <c r="V77" i="15" s="1"/>
  <c r="W77" i="15" s="1"/>
  <c r="R79" i="15"/>
  <c r="T79" i="15" s="1"/>
  <c r="V79" i="15" s="1"/>
  <c r="W79" i="15" s="1"/>
  <c r="R80" i="15"/>
  <c r="T80" i="15" s="1"/>
  <c r="V80" i="15" s="1"/>
  <c r="W80" i="15" s="1"/>
  <c r="R82" i="15"/>
  <c r="T82" i="15" s="1"/>
  <c r="V82" i="15" s="1"/>
  <c r="W82" i="15" s="1"/>
  <c r="R83" i="15"/>
  <c r="T83" i="15" s="1"/>
  <c r="V83" i="15" s="1"/>
  <c r="W83" i="15" s="1"/>
  <c r="R84" i="15"/>
  <c r="T84" i="15" s="1"/>
  <c r="V84" i="15" s="1"/>
  <c r="W84" i="15" s="1"/>
  <c r="R86" i="15"/>
  <c r="T86" i="15" s="1"/>
  <c r="V86" i="15" s="1"/>
  <c r="W86" i="15" s="1"/>
  <c r="R87" i="15"/>
  <c r="T87" i="15" s="1"/>
  <c r="V87" i="15" s="1"/>
  <c r="W87" i="15" s="1"/>
  <c r="R88" i="15"/>
  <c r="T88" i="15" s="1"/>
  <c r="V88" i="15" s="1"/>
  <c r="W88" i="15" s="1"/>
  <c r="R90" i="15"/>
  <c r="T90" i="15" s="1"/>
  <c r="V90" i="15" s="1"/>
  <c r="W90" i="15" s="1"/>
  <c r="R91" i="15"/>
  <c r="T91" i="15" s="1"/>
  <c r="V91" i="15" s="1"/>
  <c r="W91" i="15" s="1"/>
  <c r="R93" i="15"/>
  <c r="T93" i="15" s="1"/>
  <c r="V93" i="15" s="1"/>
  <c r="W93" i="15" s="1"/>
  <c r="R94" i="15"/>
  <c r="T94" i="15" s="1"/>
  <c r="V94" i="15" s="1"/>
  <c r="W94" i="15" s="1"/>
  <c r="R95" i="15"/>
  <c r="T95" i="15" s="1"/>
  <c r="V95" i="15" s="1"/>
  <c r="W95" i="15" s="1"/>
  <c r="R96" i="15"/>
  <c r="T96" i="15" s="1"/>
  <c r="V96" i="15" s="1"/>
  <c r="W96" i="15" s="1"/>
  <c r="R97" i="15"/>
  <c r="T97" i="15" s="1"/>
  <c r="V97" i="15" s="1"/>
  <c r="W97" i="15" s="1"/>
  <c r="R98" i="15"/>
  <c r="T98" i="15" s="1"/>
  <c r="V98" i="15" s="1"/>
  <c r="W98" i="15" s="1"/>
  <c r="R99" i="15"/>
  <c r="T99" i="15" s="1"/>
  <c r="V99" i="15" s="1"/>
  <c r="W99" i="15" s="1"/>
  <c r="R100" i="15"/>
  <c r="T100" i="15" s="1"/>
  <c r="V100" i="15" s="1"/>
  <c r="W100" i="15" s="1"/>
  <c r="R101" i="15"/>
  <c r="T101" i="15" s="1"/>
  <c r="V101" i="15" s="1"/>
  <c r="W101" i="15" s="1"/>
  <c r="R102" i="15"/>
  <c r="T102" i="15" s="1"/>
  <c r="V102" i="15" s="1"/>
  <c r="W102" i="15" s="1"/>
  <c r="R104" i="15"/>
  <c r="T104" i="15" s="1"/>
  <c r="V104" i="15" s="1"/>
  <c r="W104" i="15" s="1"/>
  <c r="R105" i="15"/>
  <c r="T105" i="15" s="1"/>
  <c r="V105" i="15" s="1"/>
  <c r="W105" i="15" s="1"/>
  <c r="R107" i="15"/>
  <c r="T107" i="15" s="1"/>
  <c r="V107" i="15" s="1"/>
  <c r="W107" i="15" s="1"/>
  <c r="R108" i="15"/>
  <c r="T108" i="15" s="1"/>
  <c r="V108" i="15" s="1"/>
  <c r="W108" i="15" s="1"/>
  <c r="R109" i="15"/>
  <c r="T109" i="15" s="1"/>
  <c r="V109" i="15" s="1"/>
  <c r="W109" i="15" s="1"/>
  <c r="R110" i="15"/>
  <c r="T110" i="15" s="1"/>
  <c r="V110" i="15" s="1"/>
  <c r="W110" i="15" s="1"/>
  <c r="R111" i="15"/>
  <c r="T111" i="15" s="1"/>
  <c r="V111" i="15" s="1"/>
  <c r="W111" i="15" s="1"/>
  <c r="R112" i="15"/>
  <c r="T112" i="15" s="1"/>
  <c r="V112" i="15" s="1"/>
  <c r="W112" i="15" s="1"/>
  <c r="R113" i="15"/>
  <c r="T113" i="15" s="1"/>
  <c r="V113" i="15" s="1"/>
  <c r="W113" i="15" s="1"/>
  <c r="R115" i="15"/>
  <c r="T115" i="15" s="1"/>
  <c r="V115" i="15" s="1"/>
  <c r="W115" i="15" s="1"/>
  <c r="R116" i="15"/>
  <c r="T116" i="15" s="1"/>
  <c r="V116" i="15" s="1"/>
  <c r="W116" i="15" s="1"/>
  <c r="R117" i="15"/>
  <c r="T117" i="15" s="1"/>
  <c r="V117" i="15" s="1"/>
  <c r="W117" i="15" s="1"/>
  <c r="R118" i="15"/>
  <c r="T118" i="15" s="1"/>
  <c r="V118" i="15" s="1"/>
  <c r="W118" i="15" s="1"/>
  <c r="R119" i="15"/>
  <c r="T119" i="15" s="1"/>
  <c r="V119" i="15" s="1"/>
  <c r="W119" i="15" s="1"/>
  <c r="R120" i="15"/>
  <c r="T120" i="15" s="1"/>
  <c r="V120" i="15" s="1"/>
  <c r="W120" i="15" s="1"/>
  <c r="R121" i="15"/>
  <c r="T121" i="15" s="1"/>
  <c r="V121" i="15" s="1"/>
  <c r="W121" i="15" s="1"/>
  <c r="R122" i="15"/>
  <c r="T122" i="15" s="1"/>
  <c r="V122" i="15" s="1"/>
  <c r="W122" i="15" s="1"/>
  <c r="R123" i="15"/>
  <c r="T123" i="15" s="1"/>
  <c r="V123" i="15" s="1"/>
  <c r="W123" i="15" s="1"/>
  <c r="R125" i="15"/>
  <c r="T125" i="15" s="1"/>
  <c r="V125" i="15" s="1"/>
  <c r="W125" i="15" s="1"/>
  <c r="R126" i="15"/>
  <c r="T126" i="15" s="1"/>
  <c r="V126" i="15" s="1"/>
  <c r="W126" i="15" s="1"/>
  <c r="R128" i="15"/>
  <c r="T128" i="15" s="1"/>
  <c r="V128" i="15" s="1"/>
  <c r="W128" i="15" s="1"/>
  <c r="R130" i="15"/>
  <c r="T130" i="15" s="1"/>
  <c r="V130" i="15" s="1"/>
  <c r="W130" i="15" s="1"/>
  <c r="R131" i="15"/>
  <c r="T131" i="15" s="1"/>
  <c r="V131" i="15" s="1"/>
  <c r="W131" i="15" s="1"/>
  <c r="R132" i="15"/>
  <c r="T132" i="15" s="1"/>
  <c r="V132" i="15" s="1"/>
  <c r="W132" i="15" s="1"/>
  <c r="R133" i="15"/>
  <c r="T133" i="15" s="1"/>
  <c r="V133" i="15" s="1"/>
  <c r="W133" i="15" s="1"/>
  <c r="R3" i="15"/>
  <c r="T3" i="15" s="1"/>
  <c r="Q128" i="15"/>
  <c r="Q126" i="15"/>
  <c r="Q110" i="15"/>
  <c r="Q48" i="15"/>
  <c r="W7" i="15" l="1"/>
  <c r="F142" i="15"/>
  <c r="G142" i="15"/>
  <c r="G143" i="15" s="1"/>
  <c r="W28" i="15"/>
  <c r="Q24" i="30"/>
  <c r="Q25" i="30" s="1"/>
  <c r="H35" i="30" s="1"/>
  <c r="I3" i="33"/>
  <c r="G5" i="7"/>
  <c r="H5" i="7" s="1"/>
  <c r="G6" i="7"/>
  <c r="H6" i="7" s="1"/>
  <c r="G7" i="7"/>
  <c r="H7" i="7" s="1"/>
  <c r="G8" i="7"/>
  <c r="H8" i="7" s="1"/>
  <c r="B14" i="31"/>
  <c r="B10" i="31"/>
  <c r="G16" i="31"/>
  <c r="F16" i="31"/>
  <c r="E16" i="31"/>
  <c r="D16" i="31"/>
  <c r="C16" i="31"/>
  <c r="G17" i="31"/>
  <c r="F9" i="31"/>
  <c r="F5" i="31"/>
  <c r="K14" i="31"/>
  <c r="G12" i="31"/>
  <c r="F12" i="31"/>
  <c r="E12" i="31"/>
  <c r="D12" i="31"/>
  <c r="C12" i="31"/>
  <c r="N4" i="29"/>
  <c r="N5" i="29"/>
  <c r="N6" i="29"/>
  <c r="N7" i="29"/>
  <c r="N8" i="29"/>
  <c r="N9" i="29"/>
  <c r="N11" i="29"/>
  <c r="N12" i="29"/>
  <c r="K5" i="29"/>
  <c r="I5" i="29"/>
  <c r="K4" i="17"/>
  <c r="I4" i="17"/>
  <c r="G12" i="17"/>
  <c r="H12" i="17" s="1"/>
  <c r="N4" i="17"/>
  <c r="N5" i="17"/>
  <c r="N6" i="17"/>
  <c r="N7" i="17"/>
  <c r="N8" i="17"/>
  <c r="N9" i="17"/>
  <c r="N10" i="17"/>
  <c r="N11" i="17"/>
  <c r="N12" i="17"/>
  <c r="N3" i="17"/>
  <c r="N3" i="29"/>
  <c r="M10" i="29"/>
  <c r="N10" i="29" s="1"/>
  <c r="O5" i="11"/>
  <c r="O6" i="11"/>
  <c r="N6" i="11"/>
  <c r="N7" i="11"/>
  <c r="N3" i="11"/>
  <c r="M47" i="30"/>
  <c r="M46" i="30"/>
  <c r="M45" i="30"/>
  <c r="N44" i="30"/>
  <c r="N36" i="30"/>
  <c r="O36" i="30" s="1"/>
  <c r="N35" i="30"/>
  <c r="O35" i="30" s="1"/>
  <c r="N34" i="30"/>
  <c r="O34" i="30" s="1"/>
  <c r="O6" i="30"/>
  <c r="N4" i="30"/>
  <c r="N3" i="30"/>
  <c r="N44" i="11"/>
  <c r="M46" i="11"/>
  <c r="M47" i="11"/>
  <c r="M45" i="11"/>
  <c r="N22" i="11"/>
  <c r="E45" i="22"/>
  <c r="E51" i="22" s="1"/>
  <c r="E57" i="22" s="1"/>
  <c r="E63" i="22" s="1"/>
  <c r="E49" i="22"/>
  <c r="E55" i="22" s="1"/>
  <c r="E61" i="22" s="1"/>
  <c r="E67" i="22" s="1"/>
  <c r="E43" i="22"/>
  <c r="C43" i="22"/>
  <c r="C49" i="22" s="1"/>
  <c r="C55" i="22" s="1"/>
  <c r="C61" i="22" s="1"/>
  <c r="C67" i="22" s="1"/>
  <c r="E42" i="22"/>
  <c r="E48" i="22" s="1"/>
  <c r="E54" i="22" s="1"/>
  <c r="E60" i="22" s="1"/>
  <c r="E66" i="22" s="1"/>
  <c r="D40" i="22"/>
  <c r="D46" i="22" s="1"/>
  <c r="D52" i="22" s="1"/>
  <c r="D58" i="22" s="1"/>
  <c r="D64" i="22" s="1"/>
  <c r="E40" i="22"/>
  <c r="E46" i="22" s="1"/>
  <c r="E52" i="22" s="1"/>
  <c r="E58" i="22" s="1"/>
  <c r="E64" i="22" s="1"/>
  <c r="E39" i="22"/>
  <c r="C33" i="22"/>
  <c r="C45" i="22" s="1"/>
  <c r="C51" i="22" s="1"/>
  <c r="C57" i="22" s="1"/>
  <c r="C63" i="22" s="1"/>
  <c r="P4" i="22"/>
  <c r="P5" i="22"/>
  <c r="P6" i="22"/>
  <c r="P7" i="22"/>
  <c r="T4" i="22"/>
  <c r="T5" i="22"/>
  <c r="T6" i="22"/>
  <c r="T7" i="22"/>
  <c r="T3" i="22"/>
  <c r="S7" i="22"/>
  <c r="S6" i="22"/>
  <c r="S5" i="22"/>
  <c r="S4" i="22"/>
  <c r="S3" i="22"/>
  <c r="R7" i="22"/>
  <c r="R6" i="22"/>
  <c r="R5" i="22"/>
  <c r="R4" i="22"/>
  <c r="R3" i="22"/>
  <c r="Q7" i="22"/>
  <c r="Q6" i="22"/>
  <c r="Q5" i="22"/>
  <c r="Q4" i="22"/>
  <c r="Q3" i="22"/>
  <c r="E34" i="22"/>
  <c r="P4" i="11" s="1"/>
  <c r="E35" i="22"/>
  <c r="P5" i="11" s="1"/>
  <c r="E36" i="22"/>
  <c r="P6" i="11" s="1"/>
  <c r="E37" i="22"/>
  <c r="P7" i="11" s="1"/>
  <c r="E33" i="22"/>
  <c r="P3" i="11" s="1"/>
  <c r="D34" i="22"/>
  <c r="O4" i="11" s="1"/>
  <c r="D35" i="22"/>
  <c r="D41" i="22" s="1"/>
  <c r="D47" i="22" s="1"/>
  <c r="D53" i="22" s="1"/>
  <c r="D59" i="22" s="1"/>
  <c r="D65" i="22" s="1"/>
  <c r="D36" i="22"/>
  <c r="D42" i="22" s="1"/>
  <c r="D48" i="22" s="1"/>
  <c r="D54" i="22" s="1"/>
  <c r="D60" i="22" s="1"/>
  <c r="D66" i="22" s="1"/>
  <c r="D37" i="22"/>
  <c r="D43" i="22" s="1"/>
  <c r="D49" i="22" s="1"/>
  <c r="D55" i="22" s="1"/>
  <c r="D61" i="22" s="1"/>
  <c r="D67" i="22" s="1"/>
  <c r="D33" i="22"/>
  <c r="D45" i="22" s="1"/>
  <c r="D51" i="22" s="1"/>
  <c r="D57" i="22" s="1"/>
  <c r="D63" i="22" s="1"/>
  <c r="C34" i="22"/>
  <c r="N4" i="11" s="1"/>
  <c r="C35" i="22"/>
  <c r="C41" i="22" s="1"/>
  <c r="C47" i="22" s="1"/>
  <c r="C53" i="22" s="1"/>
  <c r="C59" i="22" s="1"/>
  <c r="C65" i="22" s="1"/>
  <c r="C36" i="22"/>
  <c r="C42" i="22" s="1"/>
  <c r="C48" i="22" s="1"/>
  <c r="C54" i="22" s="1"/>
  <c r="C60" i="22" s="1"/>
  <c r="C66" i="22" s="1"/>
  <c r="C37" i="22"/>
  <c r="E28" i="22"/>
  <c r="E29" i="22"/>
  <c r="E30" i="22"/>
  <c r="E31" i="22"/>
  <c r="E27" i="22"/>
  <c r="D28" i="22"/>
  <c r="D29" i="22"/>
  <c r="D30" i="22"/>
  <c r="D31" i="22"/>
  <c r="D27" i="22"/>
  <c r="C28" i="22"/>
  <c r="C29" i="22"/>
  <c r="C30" i="22"/>
  <c r="C31" i="22"/>
  <c r="C27" i="22"/>
  <c r="E22" i="22"/>
  <c r="E23" i="22"/>
  <c r="E24" i="22"/>
  <c r="E25" i="22"/>
  <c r="E21" i="22"/>
  <c r="D22" i="22"/>
  <c r="D23" i="22"/>
  <c r="D24" i="22"/>
  <c r="D25" i="22"/>
  <c r="D21" i="22"/>
  <c r="C22" i="22"/>
  <c r="C23" i="22"/>
  <c r="C24" i="22"/>
  <c r="C25" i="22"/>
  <c r="C21" i="22"/>
  <c r="C15" i="22"/>
  <c r="E16" i="22"/>
  <c r="E17" i="22"/>
  <c r="E18" i="22"/>
  <c r="E19" i="22"/>
  <c r="E15" i="22"/>
  <c r="D16" i="22"/>
  <c r="D17" i="22"/>
  <c r="D18" i="22"/>
  <c r="D19" i="22"/>
  <c r="D15" i="22"/>
  <c r="C16" i="22"/>
  <c r="C17" i="22"/>
  <c r="C18" i="22"/>
  <c r="C19" i="22"/>
  <c r="E10" i="22"/>
  <c r="E11" i="22"/>
  <c r="E12" i="22"/>
  <c r="E13" i="22"/>
  <c r="E9" i="22"/>
  <c r="D10" i="22"/>
  <c r="D11" i="22"/>
  <c r="D12" i="22"/>
  <c r="D13" i="22"/>
  <c r="D9" i="22"/>
  <c r="C10" i="22"/>
  <c r="C11" i="22"/>
  <c r="C12" i="22"/>
  <c r="C13" i="22"/>
  <c r="C9" i="22"/>
  <c r="E4" i="22"/>
  <c r="P4" i="30" s="1"/>
  <c r="E5" i="22"/>
  <c r="P5" i="30" s="1"/>
  <c r="E6" i="22"/>
  <c r="P6" i="30" s="1"/>
  <c r="E7" i="22"/>
  <c r="P7" i="30" s="1"/>
  <c r="E3" i="22"/>
  <c r="D4" i="22"/>
  <c r="O4" i="30" s="1"/>
  <c r="D5" i="22"/>
  <c r="O5" i="30" s="1"/>
  <c r="D6" i="22"/>
  <c r="D7" i="22"/>
  <c r="O7" i="30" s="1"/>
  <c r="D3" i="22"/>
  <c r="C5" i="22"/>
  <c r="N5" i="30" s="1"/>
  <c r="C6" i="22"/>
  <c r="N6" i="30" s="1"/>
  <c r="C7" i="22"/>
  <c r="N7" i="30" s="1"/>
  <c r="L27" i="22"/>
  <c r="L28" i="22"/>
  <c r="L29" i="22"/>
  <c r="L30" i="22"/>
  <c r="L26" i="22"/>
  <c r="K27" i="22"/>
  <c r="K28" i="22"/>
  <c r="K29" i="22"/>
  <c r="K30" i="22"/>
  <c r="K26" i="22"/>
  <c r="J27" i="22"/>
  <c r="J28" i="22"/>
  <c r="J29" i="22"/>
  <c r="J30" i="22"/>
  <c r="J26" i="22"/>
  <c r="M23" i="22"/>
  <c r="M19" i="22"/>
  <c r="M20" i="22"/>
  <c r="M21" i="22"/>
  <c r="M22" i="22"/>
  <c r="M18" i="22"/>
  <c r="K23" i="22"/>
  <c r="L23" i="22"/>
  <c r="J23" i="22"/>
  <c r="K17" i="22"/>
  <c r="L17" i="22"/>
  <c r="J17" i="22"/>
  <c r="H22" i="22"/>
  <c r="H19" i="22"/>
  <c r="H20" i="22"/>
  <c r="H21" i="22"/>
  <c r="H18" i="22"/>
  <c r="Q6" i="30" l="1"/>
  <c r="Q5" i="30"/>
  <c r="O7" i="11"/>
  <c r="O3" i="11"/>
  <c r="C46" i="22"/>
  <c r="C52" i="22" s="1"/>
  <c r="C58" i="22" s="1"/>
  <c r="C64" i="22" s="1"/>
  <c r="E41" i="22"/>
  <c r="E47" i="22" s="1"/>
  <c r="E53" i="22" s="1"/>
  <c r="E59" i="22" s="1"/>
  <c r="E65" i="22" s="1"/>
  <c r="N5" i="11"/>
  <c r="P13" i="30"/>
  <c r="C8" i="22"/>
  <c r="O14" i="30"/>
  <c r="E8" i="22"/>
  <c r="D8" i="22"/>
  <c r="Q4" i="30"/>
  <c r="P12" i="30" s="1"/>
  <c r="O3" i="30"/>
  <c r="P3" i="30"/>
  <c r="G17" i="32"/>
  <c r="G13" i="32"/>
  <c r="G17" i="34"/>
  <c r="G13" i="31"/>
  <c r="I12" i="19"/>
  <c r="K12" i="19"/>
  <c r="L12" i="19"/>
  <c r="H12" i="19"/>
  <c r="J12" i="19"/>
  <c r="F12" i="19"/>
  <c r="F13" i="31"/>
  <c r="B8" i="27"/>
  <c r="F32" i="35"/>
  <c r="E32" i="35"/>
  <c r="D32" i="35"/>
  <c r="C32" i="35"/>
  <c r="B32" i="35"/>
  <c r="B10" i="27"/>
  <c r="E9" i="31"/>
  <c r="F17" i="31"/>
  <c r="G9" i="7"/>
  <c r="N12" i="30"/>
  <c r="O13" i="30"/>
  <c r="Q7" i="30"/>
  <c r="N15" i="30" s="1"/>
  <c r="N14" i="30"/>
  <c r="P14" i="30"/>
  <c r="N13" i="30"/>
  <c r="Q3" i="30"/>
  <c r="P11" i="30" s="1"/>
  <c r="N36" i="11"/>
  <c r="N35" i="11"/>
  <c r="N34" i="11"/>
  <c r="H4" i="17"/>
  <c r="J4" i="17" s="1"/>
  <c r="G5" i="17"/>
  <c r="H5" i="17" s="1"/>
  <c r="G6" i="17"/>
  <c r="H6" i="17" s="1"/>
  <c r="G7" i="17"/>
  <c r="H7" i="17" s="1"/>
  <c r="G8" i="17"/>
  <c r="H8" i="17" s="1"/>
  <c r="G9" i="17"/>
  <c r="H9" i="17" s="1"/>
  <c r="G10" i="17"/>
  <c r="H10" i="17" s="1"/>
  <c r="G11" i="17"/>
  <c r="H11" i="17" s="1"/>
  <c r="G12" i="29"/>
  <c r="H12" i="29" s="1"/>
  <c r="G11" i="29"/>
  <c r="H11" i="29" s="1"/>
  <c r="G10" i="29"/>
  <c r="H10" i="29" s="1"/>
  <c r="G9" i="29"/>
  <c r="H9" i="29" s="1"/>
  <c r="G8" i="29"/>
  <c r="H8" i="29" s="1"/>
  <c r="G7" i="29"/>
  <c r="H7" i="29" s="1"/>
  <c r="G6" i="29"/>
  <c r="H6" i="29" s="1"/>
  <c r="G5" i="29"/>
  <c r="H5" i="29" s="1"/>
  <c r="J5" i="29" s="1"/>
  <c r="L5" i="29" s="1"/>
  <c r="O5" i="29" s="1"/>
  <c r="G4" i="29"/>
  <c r="H4" i="29" s="1"/>
  <c r="G3" i="29"/>
  <c r="H3" i="29" s="1"/>
  <c r="A9" i="5"/>
  <c r="A10" i="5"/>
  <c r="A11" i="5"/>
  <c r="A12" i="5"/>
  <c r="A13" i="5"/>
  <c r="A14" i="5"/>
  <c r="A15" i="5"/>
  <c r="A8" i="5"/>
  <c r="A1" i="5"/>
  <c r="B9" i="5"/>
  <c r="B10" i="5"/>
  <c r="B11" i="5"/>
  <c r="B12" i="5"/>
  <c r="B13" i="5"/>
  <c r="B14" i="5"/>
  <c r="E15" i="5"/>
  <c r="D9" i="5"/>
  <c r="D10" i="5"/>
  <c r="D12" i="5"/>
  <c r="D13" i="5"/>
  <c r="D14" i="5"/>
  <c r="D8" i="5"/>
  <c r="B9" i="28"/>
  <c r="B10" i="28"/>
  <c r="B11" i="28"/>
  <c r="B12" i="28"/>
  <c r="B13" i="28"/>
  <c r="B14" i="28"/>
  <c r="D9" i="28"/>
  <c r="D10" i="28"/>
  <c r="D11" i="28"/>
  <c r="D12" i="28"/>
  <c r="D13" i="28"/>
  <c r="D14" i="28"/>
  <c r="D8" i="28"/>
  <c r="D8" i="27" l="1"/>
  <c r="F8" i="27" s="1"/>
  <c r="O12" i="30"/>
  <c r="P15" i="30"/>
  <c r="O15" i="30"/>
  <c r="F8" i="22"/>
  <c r="Q14" i="30"/>
  <c r="B8" i="12"/>
  <c r="B17" i="12"/>
  <c r="B70" i="12"/>
  <c r="C70" i="12" s="1"/>
  <c r="G70" i="12" s="1"/>
  <c r="G13" i="34"/>
  <c r="L4" i="17"/>
  <c r="O4" i="17" s="1"/>
  <c r="E5" i="31"/>
  <c r="K5" i="17"/>
  <c r="K11" i="17"/>
  <c r="K6" i="17"/>
  <c r="K7" i="17"/>
  <c r="K3" i="17"/>
  <c r="K8" i="17"/>
  <c r="K9" i="17"/>
  <c r="K10" i="17"/>
  <c r="K12" i="17"/>
  <c r="F38" i="35"/>
  <c r="D38" i="35"/>
  <c r="E38" i="35"/>
  <c r="C38" i="35"/>
  <c r="B38" i="35"/>
  <c r="D10" i="27"/>
  <c r="F10" i="27" s="1"/>
  <c r="G32" i="35"/>
  <c r="K4" i="29"/>
  <c r="K12" i="29"/>
  <c r="K6" i="29"/>
  <c r="K7" i="29"/>
  <c r="K8" i="29"/>
  <c r="K3" i="29"/>
  <c r="K9" i="29"/>
  <c r="K10" i="29"/>
  <c r="K11" i="29"/>
  <c r="E17" i="31"/>
  <c r="O11" i="30"/>
  <c r="N11" i="30"/>
  <c r="Q13" i="30"/>
  <c r="O40" i="30"/>
  <c r="R8" i="30"/>
  <c r="R3" i="30" s="1"/>
  <c r="C37" i="30" s="1"/>
  <c r="O41" i="30"/>
  <c r="Q12" i="30"/>
  <c r="E15" i="28"/>
  <c r="B8" i="28"/>
  <c r="Q15" i="30" l="1"/>
  <c r="R7" i="30"/>
  <c r="G37" i="30" s="1"/>
  <c r="G40" i="30" s="1"/>
  <c r="G8" i="12"/>
  <c r="C7" i="25"/>
  <c r="F8" i="12"/>
  <c r="B7" i="25"/>
  <c r="G58" i="12"/>
  <c r="B58" i="12"/>
  <c r="C58" i="12" s="1"/>
  <c r="F70" i="12" s="1"/>
  <c r="E13" i="31"/>
  <c r="G38" i="35"/>
  <c r="I6" i="17"/>
  <c r="J6" i="17" s="1"/>
  <c r="L6" i="17" s="1"/>
  <c r="O6" i="17" s="1"/>
  <c r="I7" i="17"/>
  <c r="J7" i="17" s="1"/>
  <c r="L7" i="17" s="1"/>
  <c r="O7" i="17" s="1"/>
  <c r="I8" i="17"/>
  <c r="J8" i="17" s="1"/>
  <c r="L8" i="17" s="1"/>
  <c r="O8" i="17" s="1"/>
  <c r="I9" i="17"/>
  <c r="J9" i="17" s="1"/>
  <c r="L9" i="17" s="1"/>
  <c r="O9" i="17" s="1"/>
  <c r="I10" i="17"/>
  <c r="J10" i="17" s="1"/>
  <c r="L10" i="17" s="1"/>
  <c r="O10" i="17" s="1"/>
  <c r="I12" i="17"/>
  <c r="J12" i="17" s="1"/>
  <c r="L12" i="17" s="1"/>
  <c r="O12" i="17" s="1"/>
  <c r="I3" i="17"/>
  <c r="J3" i="17" s="1"/>
  <c r="I11" i="17"/>
  <c r="J11" i="17" s="1"/>
  <c r="L11" i="17" s="1"/>
  <c r="O11" i="17" s="1"/>
  <c r="I5" i="17"/>
  <c r="J5" i="17" s="1"/>
  <c r="L5" i="17" s="1"/>
  <c r="O5" i="17" s="1"/>
  <c r="R4" i="30"/>
  <c r="D37" i="30" s="1"/>
  <c r="R6" i="30"/>
  <c r="F37" i="30" s="1"/>
  <c r="R5" i="30"/>
  <c r="E37" i="30" s="1"/>
  <c r="C38" i="30"/>
  <c r="C39" i="30"/>
  <c r="C40" i="30"/>
  <c r="Q11" i="30"/>
  <c r="N42" i="30" s="1"/>
  <c r="G38" i="30" l="1"/>
  <c r="G39" i="30"/>
  <c r="F58" i="12"/>
  <c r="L3" i="17"/>
  <c r="O3" i="17" s="1"/>
  <c r="D5" i="31"/>
  <c r="N40" i="30"/>
  <c r="C48" i="30"/>
  <c r="F39" i="30"/>
  <c r="F47" i="30" s="1"/>
  <c r="F51" i="30" s="1"/>
  <c r="F55" i="30" s="1"/>
  <c r="F59" i="30" s="1"/>
  <c r="F40" i="30"/>
  <c r="F48" i="30" s="1"/>
  <c r="F38" i="30"/>
  <c r="F46" i="30" s="1"/>
  <c r="C46" i="30"/>
  <c r="E39" i="30"/>
  <c r="E47" i="30" s="1"/>
  <c r="E51" i="30" s="1"/>
  <c r="E55" i="30" s="1"/>
  <c r="E59" i="30" s="1"/>
  <c r="E40" i="30"/>
  <c r="E48" i="30" s="1"/>
  <c r="E38" i="30"/>
  <c r="E46" i="30" s="1"/>
  <c r="E50" i="30" s="1"/>
  <c r="E54" i="30" s="1"/>
  <c r="E58" i="30" s="1"/>
  <c r="C47" i="30"/>
  <c r="D38" i="30"/>
  <c r="D46" i="30" s="1"/>
  <c r="D50" i="30" s="1"/>
  <c r="D54" i="30" s="1"/>
  <c r="D58" i="30" s="1"/>
  <c r="D39" i="30"/>
  <c r="D47" i="30" s="1"/>
  <c r="D40" i="30"/>
  <c r="D48" i="30" s="1"/>
  <c r="H37" i="30"/>
  <c r="N41" i="30"/>
  <c r="D13" i="31" l="1"/>
  <c r="F12" i="35"/>
  <c r="B48" i="36" s="1"/>
  <c r="E12" i="35"/>
  <c r="B37" i="36" s="1"/>
  <c r="D12" i="35"/>
  <c r="B26" i="36" s="1"/>
  <c r="B55" i="12"/>
  <c r="C55" i="12" s="1"/>
  <c r="C12" i="35"/>
  <c r="B15" i="36" s="1"/>
  <c r="B12" i="35"/>
  <c r="B4" i="36" s="1"/>
  <c r="H46" i="30"/>
  <c r="C50" i="30"/>
  <c r="C54" i="30" s="1"/>
  <c r="C58" i="30" s="1"/>
  <c r="H38" i="30"/>
  <c r="C51" i="30"/>
  <c r="C55" i="30" s="1"/>
  <c r="C59" i="30" s="1"/>
  <c r="H47" i="30"/>
  <c r="H39" i="30"/>
  <c r="H48" i="30"/>
  <c r="C52" i="30"/>
  <c r="C56" i="30" s="1"/>
  <c r="C60" i="30" s="1"/>
  <c r="H40" i="30"/>
  <c r="G2" i="27"/>
  <c r="H60" i="30" l="1"/>
  <c r="C59" i="12" s="1"/>
  <c r="H56" i="30"/>
  <c r="H55" i="30"/>
  <c r="H59" i="30"/>
  <c r="C60" i="12" s="1"/>
  <c r="H54" i="30"/>
  <c r="H58" i="30"/>
  <c r="C61" i="12" s="1"/>
  <c r="D2" i="27"/>
  <c r="F2" i="27" s="1"/>
  <c r="F73" i="12" l="1"/>
  <c r="F72" i="12"/>
  <c r="F71" i="12"/>
  <c r="D43" i="35"/>
  <c r="C43" i="35"/>
  <c r="B43" i="35"/>
  <c r="F43" i="35"/>
  <c r="E43" i="35"/>
  <c r="E44" i="35"/>
  <c r="F44" i="35"/>
  <c r="C44" i="35"/>
  <c r="B44" i="35"/>
  <c r="D44" i="35"/>
  <c r="B59" i="12"/>
  <c r="F59" i="12" s="1"/>
  <c r="C45" i="35"/>
  <c r="B45" i="35"/>
  <c r="F45" i="35"/>
  <c r="E45" i="35"/>
  <c r="D45" i="35"/>
  <c r="N45" i="30"/>
  <c r="B61" i="12"/>
  <c r="F61" i="12" s="1"/>
  <c r="N46" i="30"/>
  <c r="B60" i="12"/>
  <c r="F60" i="12" s="1"/>
  <c r="F61" i="30"/>
  <c r="B4" i="24" s="1"/>
  <c r="B7" i="12" s="1"/>
  <c r="B6" i="25" s="1"/>
  <c r="N47" i="30"/>
  <c r="F62" i="30"/>
  <c r="H49" i="25"/>
  <c r="G49" i="25"/>
  <c r="F49" i="25"/>
  <c r="H50" i="25"/>
  <c r="G50" i="25"/>
  <c r="F50" i="25"/>
  <c r="E50" i="25"/>
  <c r="D50" i="25"/>
  <c r="G15" i="19"/>
  <c r="G16" i="19" s="1"/>
  <c r="C15" i="19"/>
  <c r="C12" i="19" s="1"/>
  <c r="H2" i="25"/>
  <c r="G2" i="25"/>
  <c r="G44" i="35" l="1"/>
  <c r="B28" i="36"/>
  <c r="B50" i="36"/>
  <c r="G45" i="35"/>
  <c r="B6" i="36"/>
  <c r="G43" i="35"/>
  <c r="B39" i="36"/>
  <c r="B17" i="36"/>
  <c r="F7" i="12"/>
  <c r="E10" i="19"/>
  <c r="F6" i="25" s="1"/>
  <c r="B25" i="24"/>
  <c r="C7" i="12"/>
  <c r="G17" i="19"/>
  <c r="H45" i="35" l="1"/>
  <c r="F10" i="19"/>
  <c r="F53" i="25" s="1"/>
  <c r="B53" i="25"/>
  <c r="F13" i="12"/>
  <c r="M5" i="7" l="1"/>
  <c r="M6" i="7"/>
  <c r="M7" i="7"/>
  <c r="M8" i="7"/>
  <c r="M4" i="7"/>
  <c r="M9" i="7" l="1"/>
  <c r="U37" i="20"/>
  <c r="O7" i="22" l="1"/>
  <c r="O6" i="22"/>
  <c r="O5" i="22"/>
  <c r="O4" i="22"/>
  <c r="O3" i="22"/>
  <c r="B89" i="20"/>
  <c r="A89" i="20"/>
  <c r="Y72" i="20"/>
  <c r="X72" i="20"/>
  <c r="W72" i="20"/>
  <c r="V72" i="20"/>
  <c r="B54" i="20"/>
  <c r="A54" i="20"/>
  <c r="W37" i="20"/>
  <c r="V37" i="20"/>
  <c r="B21" i="20"/>
  <c r="A21" i="20"/>
  <c r="AF3" i="20"/>
  <c r="AE3" i="20"/>
  <c r="AD3" i="20"/>
  <c r="AC3" i="20"/>
  <c r="AB3" i="20"/>
  <c r="AA3" i="20"/>
  <c r="Z3" i="20"/>
  <c r="Y3" i="20"/>
  <c r="X3" i="20"/>
  <c r="W3" i="20"/>
  <c r="V3" i="20"/>
  <c r="U3" i="20"/>
  <c r="X37" i="20" l="1"/>
  <c r="C20" i="22"/>
  <c r="Z72" i="20"/>
  <c r="AG3" i="20"/>
  <c r="D54" i="20" l="1"/>
  <c r="E54" i="20" s="1"/>
  <c r="F54" i="20" s="1"/>
  <c r="G54" i="20" s="1"/>
  <c r="H54" i="20" s="1"/>
  <c r="I54" i="20" s="1"/>
  <c r="J54" i="20" s="1"/>
  <c r="K54" i="20" s="1"/>
  <c r="L54" i="20" s="1"/>
  <c r="M54" i="20" s="1"/>
  <c r="N54" i="20" s="1"/>
  <c r="O54" i="20" s="1"/>
  <c r="P54" i="20" s="1"/>
  <c r="Q54" i="20" s="1"/>
  <c r="R54" i="20" s="1"/>
  <c r="S54" i="20" s="1"/>
  <c r="E21" i="20"/>
  <c r="F21" i="20" s="1"/>
  <c r="G21" i="20" s="1"/>
  <c r="H21" i="20" s="1"/>
  <c r="I21" i="20" s="1"/>
  <c r="J21" i="20" s="1"/>
  <c r="K21" i="20" s="1"/>
  <c r="L21" i="20" s="1"/>
  <c r="M21" i="20" s="1"/>
  <c r="N21" i="20" s="1"/>
  <c r="O21" i="20" s="1"/>
  <c r="P21" i="20" s="1"/>
  <c r="Q21" i="20" s="1"/>
  <c r="R21" i="20" s="1"/>
  <c r="S21" i="20" s="1"/>
  <c r="D20" i="22"/>
  <c r="V81" i="20"/>
  <c r="E20" i="22"/>
  <c r="D26" i="22"/>
  <c r="U21" i="20" l="1"/>
  <c r="U89" i="20"/>
  <c r="F20" i="22"/>
  <c r="D32" i="22"/>
  <c r="C26" i="22"/>
  <c r="E26" i="22"/>
  <c r="E32" i="22" l="1"/>
  <c r="C32" i="22"/>
  <c r="D38" i="22"/>
  <c r="F26" i="22"/>
  <c r="F32" i="22" l="1"/>
  <c r="F42" i="22"/>
  <c r="E38" i="22"/>
  <c r="F41" i="22"/>
  <c r="F40" i="22"/>
  <c r="D44" i="22"/>
  <c r="C38" i="22"/>
  <c r="F43" i="22"/>
  <c r="F55" i="22" l="1"/>
  <c r="F54" i="22"/>
  <c r="F53" i="22"/>
  <c r="D56" i="22"/>
  <c r="F38" i="22"/>
  <c r="H35" i="11" s="1"/>
  <c r="C44" i="22"/>
  <c r="D50" i="22"/>
  <c r="F46" i="22"/>
  <c r="F49" i="22"/>
  <c r="F47" i="22"/>
  <c r="E44" i="22"/>
  <c r="F48" i="22"/>
  <c r="F66" i="22" l="1"/>
  <c r="F60" i="22"/>
  <c r="F61" i="22"/>
  <c r="F67" i="22"/>
  <c r="F59" i="22"/>
  <c r="F65" i="22"/>
  <c r="F52" i="22"/>
  <c r="E56" i="22"/>
  <c r="C56" i="22"/>
  <c r="F51" i="22"/>
  <c r="D62" i="22"/>
  <c r="D68" i="22"/>
  <c r="F44" i="22"/>
  <c r="E50" i="22"/>
  <c r="C50" i="22"/>
  <c r="F45" i="22"/>
  <c r="F56" i="22" l="1"/>
  <c r="F64" i="22"/>
  <c r="F58" i="22"/>
  <c r="C62" i="22"/>
  <c r="F57" i="22"/>
  <c r="E62" i="22"/>
  <c r="F50" i="22"/>
  <c r="E68" i="22" l="1"/>
  <c r="C68" i="22"/>
  <c r="F63" i="22"/>
  <c r="F62" i="22"/>
  <c r="F68" i="22" l="1"/>
  <c r="J4" i="7" l="1"/>
  <c r="H9" i="7"/>
  <c r="H10" i="7" s="1"/>
  <c r="C8" i="12" l="1"/>
  <c r="C17" i="12"/>
  <c r="Q4" i="11"/>
  <c r="Q5" i="11"/>
  <c r="Q6" i="11"/>
  <c r="Q7" i="11"/>
  <c r="Q3" i="11"/>
  <c r="G14" i="12" l="1"/>
  <c r="C54" i="25"/>
  <c r="F14" i="12"/>
  <c r="B54" i="25"/>
  <c r="R8" i="11"/>
  <c r="R3" i="11" s="1"/>
  <c r="C37" i="11" s="1"/>
  <c r="O14" i="11"/>
  <c r="P14" i="11"/>
  <c r="N14" i="11"/>
  <c r="P13" i="11"/>
  <c r="N13" i="11"/>
  <c r="O13" i="11"/>
  <c r="N11" i="11"/>
  <c r="P11" i="11"/>
  <c r="O11" i="11"/>
  <c r="P15" i="11"/>
  <c r="N15" i="11"/>
  <c r="O15" i="11"/>
  <c r="O12" i="11"/>
  <c r="P12" i="11"/>
  <c r="N12" i="11"/>
  <c r="C14" i="22"/>
  <c r="J6" i="7"/>
  <c r="C39" i="11" l="1"/>
  <c r="C38" i="11"/>
  <c r="C40" i="11"/>
  <c r="Q15" i="11"/>
  <c r="Q13" i="11"/>
  <c r="Q11" i="11"/>
  <c r="N40" i="11" s="1"/>
  <c r="D7" i="25" l="1"/>
  <c r="H7" i="25" s="1"/>
  <c r="G7" i="25" s="1"/>
  <c r="C46" i="11"/>
  <c r="D54" i="25"/>
  <c r="H54" i="25" s="1"/>
  <c r="O3" i="25"/>
  <c r="C13" i="34" l="1"/>
  <c r="B30" i="35"/>
  <c r="E30" i="35"/>
  <c r="F30" i="35"/>
  <c r="C30" i="35"/>
  <c r="D30" i="35"/>
  <c r="E7" i="25"/>
  <c r="G54" i="25"/>
  <c r="E54" i="25"/>
  <c r="C5" i="31"/>
  <c r="D36" i="35" l="1"/>
  <c r="C36" i="35"/>
  <c r="E36" i="35"/>
  <c r="C17" i="34"/>
  <c r="B36" i="35"/>
  <c r="F36" i="35"/>
  <c r="G30" i="35"/>
  <c r="C13" i="31"/>
  <c r="H13" i="31" s="1"/>
  <c r="C5" i="12" s="1"/>
  <c r="H5" i="31"/>
  <c r="B5" i="12" s="1"/>
  <c r="G14" i="16"/>
  <c r="G36" i="35" l="1"/>
  <c r="F11" i="12"/>
  <c r="B51" i="25"/>
  <c r="F5" i="12"/>
  <c r="E3" i="19"/>
  <c r="B4" i="25"/>
  <c r="G12" i="35"/>
  <c r="Q12" i="11"/>
  <c r="D14" i="22"/>
  <c r="Q14" i="11"/>
  <c r="E14" i="22" l="1"/>
  <c r="F14" i="22" s="1"/>
  <c r="R5" i="11"/>
  <c r="E37" i="11" s="1"/>
  <c r="R4" i="11"/>
  <c r="D37" i="11" s="1"/>
  <c r="R6" i="11"/>
  <c r="F37" i="11" s="1"/>
  <c r="R7" i="11"/>
  <c r="G37" i="11" s="1"/>
  <c r="H37" i="11" l="1"/>
  <c r="G38" i="11"/>
  <c r="G40" i="11"/>
  <c r="G39" i="11"/>
  <c r="D40" i="11"/>
  <c r="D38" i="11"/>
  <c r="H38" i="11" s="1"/>
  <c r="D39" i="11"/>
  <c r="H39" i="11" s="1"/>
  <c r="F47" i="11"/>
  <c r="F51" i="11" s="1"/>
  <c r="F40" i="11"/>
  <c r="F48" i="11" s="1"/>
  <c r="F39" i="11"/>
  <c r="F38" i="11"/>
  <c r="F46" i="11" s="1"/>
  <c r="E39" i="11"/>
  <c r="E47" i="11" s="1"/>
  <c r="E51" i="11" s="1"/>
  <c r="E38" i="11"/>
  <c r="E40" i="11"/>
  <c r="E48" i="11" s="1"/>
  <c r="E46" i="11"/>
  <c r="E50" i="11" s="1"/>
  <c r="C47" i="11"/>
  <c r="C48" i="11"/>
  <c r="O41" i="11"/>
  <c r="D46" i="11" l="1"/>
  <c r="D50" i="11" s="1"/>
  <c r="H40" i="11"/>
  <c r="D48" i="11"/>
  <c r="H48" i="11" s="1"/>
  <c r="D47" i="11"/>
  <c r="H47" i="11" s="1"/>
  <c r="N41" i="11"/>
  <c r="C51" i="11"/>
  <c r="O40" i="11"/>
  <c r="N42" i="11"/>
  <c r="C50" i="11"/>
  <c r="C52" i="11"/>
  <c r="H46" i="11" l="1"/>
  <c r="B8" i="5"/>
  <c r="S3" i="15" l="1"/>
  <c r="V3" i="15" s="1"/>
  <c r="I8" i="29"/>
  <c r="J8" i="29" s="1"/>
  <c r="L8" i="29" s="1"/>
  <c r="O8" i="29" s="1"/>
  <c r="I9" i="29"/>
  <c r="J9" i="29" s="1"/>
  <c r="L9" i="29" s="1"/>
  <c r="O9" i="29" s="1"/>
  <c r="I10" i="29"/>
  <c r="J10" i="29" s="1"/>
  <c r="L10" i="29" s="1"/>
  <c r="O10" i="29" s="1"/>
  <c r="I3" i="29"/>
  <c r="J3" i="29" s="1"/>
  <c r="I11" i="29"/>
  <c r="J11" i="29" s="1"/>
  <c r="L11" i="29" s="1"/>
  <c r="O11" i="29" s="1"/>
  <c r="I4" i="29"/>
  <c r="J4" i="29" s="1"/>
  <c r="L4" i="29" s="1"/>
  <c r="O4" i="29" s="1"/>
  <c r="I12" i="29"/>
  <c r="J12" i="29" s="1"/>
  <c r="L12" i="29" s="1"/>
  <c r="O12" i="29" s="1"/>
  <c r="I7" i="29"/>
  <c r="J7" i="29" s="1"/>
  <c r="L7" i="29" s="1"/>
  <c r="O7" i="29" s="1"/>
  <c r="I6" i="29"/>
  <c r="J6" i="29" s="1"/>
  <c r="L6" i="29" s="1"/>
  <c r="O6" i="29" s="1"/>
  <c r="O35" i="11"/>
  <c r="O36" i="11"/>
  <c r="C56" i="11" s="1"/>
  <c r="O34" i="11"/>
  <c r="C54" i="11" s="1"/>
  <c r="W3" i="15" l="1"/>
  <c r="H142" i="15"/>
  <c r="I142" i="15" s="1"/>
  <c r="E142" i="15"/>
  <c r="E143" i="15" s="1"/>
  <c r="C31" i="35"/>
  <c r="D9" i="31"/>
  <c r="L3" i="29"/>
  <c r="O3" i="29" s="1"/>
  <c r="C9" i="31"/>
  <c r="C55" i="11"/>
  <c r="C59" i="11" s="1"/>
  <c r="F55" i="11"/>
  <c r="F59" i="11" s="1"/>
  <c r="E55" i="11"/>
  <c r="E59" i="11" s="1"/>
  <c r="D54" i="11"/>
  <c r="D58" i="11" s="1"/>
  <c r="E54" i="11"/>
  <c r="E58" i="11" s="1"/>
  <c r="C58" i="11"/>
  <c r="C60" i="11"/>
  <c r="H60" i="11" s="1"/>
  <c r="H56" i="11"/>
  <c r="E15" i="35" l="1"/>
  <c r="C37" i="36" s="1"/>
  <c r="D15" i="35"/>
  <c r="C26" i="36" s="1"/>
  <c r="C15" i="35"/>
  <c r="C15" i="36" s="1"/>
  <c r="B15" i="35"/>
  <c r="C4" i="36" s="1"/>
  <c r="D17" i="31"/>
  <c r="F15" i="35"/>
  <c r="C48" i="36" s="1"/>
  <c r="H143" i="15"/>
  <c r="C9" i="32"/>
  <c r="C5" i="32" s="1"/>
  <c r="H5" i="34"/>
  <c r="B9" i="12" s="1"/>
  <c r="F9" i="12" s="1"/>
  <c r="B31" i="35"/>
  <c r="F37" i="35"/>
  <c r="D52" i="36" s="1"/>
  <c r="D31" i="35"/>
  <c r="E31" i="35"/>
  <c r="F31" i="35"/>
  <c r="E13" i="34"/>
  <c r="F9" i="32"/>
  <c r="B69" i="12"/>
  <c r="B50" i="35"/>
  <c r="D50" i="35"/>
  <c r="C50" i="35"/>
  <c r="F50" i="35"/>
  <c r="E50" i="35"/>
  <c r="C17" i="31"/>
  <c r="H17" i="31" s="1"/>
  <c r="C14" i="12" s="1"/>
  <c r="H9" i="31"/>
  <c r="B14" i="12" s="1"/>
  <c r="F24" i="35"/>
  <c r="B66" i="12"/>
  <c r="N47" i="11"/>
  <c r="B71" i="12"/>
  <c r="H55" i="11"/>
  <c r="H59" i="11"/>
  <c r="H54" i="11"/>
  <c r="H58" i="11"/>
  <c r="F5" i="32" l="1"/>
  <c r="C24" i="35"/>
  <c r="D24" i="35"/>
  <c r="D27" i="36"/>
  <c r="E24" i="35"/>
  <c r="C17" i="32"/>
  <c r="H9" i="32"/>
  <c r="E14" i="19" s="1"/>
  <c r="D49" i="36"/>
  <c r="B24" i="35"/>
  <c r="D5" i="36" s="1"/>
  <c r="E17" i="34"/>
  <c r="H17" i="34" s="1"/>
  <c r="C18" i="12" s="1"/>
  <c r="G15" i="12" s="1"/>
  <c r="H13" i="34"/>
  <c r="C9" i="12" s="1"/>
  <c r="F15" i="12" s="1"/>
  <c r="B8" i="25"/>
  <c r="E52" i="36"/>
  <c r="G31" i="35"/>
  <c r="H32" i="35" s="1"/>
  <c r="H9" i="34"/>
  <c r="B18" i="12" s="1"/>
  <c r="G9" i="12" s="1"/>
  <c r="B37" i="35"/>
  <c r="D8" i="36" s="1"/>
  <c r="E8" i="36" s="1"/>
  <c r="D37" i="35"/>
  <c r="D30" i="36" s="1"/>
  <c r="E30" i="36" s="1"/>
  <c r="C37" i="35"/>
  <c r="D19" i="36" s="1"/>
  <c r="E19" i="36" s="1"/>
  <c r="E37" i="35"/>
  <c r="D41" i="36" s="1"/>
  <c r="E41" i="36" s="1"/>
  <c r="B67" i="12"/>
  <c r="G55" i="12" s="1"/>
  <c r="E17" i="32"/>
  <c r="H17" i="32" s="1"/>
  <c r="B68" i="12"/>
  <c r="G56" i="12" s="1"/>
  <c r="C69" i="12"/>
  <c r="G69" i="12" s="1"/>
  <c r="G57" i="12"/>
  <c r="B72" i="12"/>
  <c r="C72" i="12" s="1"/>
  <c r="G72" i="12" s="1"/>
  <c r="D49" i="35"/>
  <c r="C49" i="35"/>
  <c r="F49" i="35"/>
  <c r="E49" i="35"/>
  <c r="B49" i="35"/>
  <c r="F48" i="35"/>
  <c r="E48" i="35"/>
  <c r="D48" i="35"/>
  <c r="C48" i="35"/>
  <c r="B48" i="35"/>
  <c r="G50" i="35"/>
  <c r="C51" i="25"/>
  <c r="G11" i="12"/>
  <c r="G5" i="12"/>
  <c r="C4" i="25"/>
  <c r="C66" i="12"/>
  <c r="G66" i="12" s="1"/>
  <c r="G54" i="12"/>
  <c r="G15" i="35"/>
  <c r="F19" i="35"/>
  <c r="E19" i="35"/>
  <c r="D19" i="35"/>
  <c r="C19" i="35"/>
  <c r="C13" i="32"/>
  <c r="H5" i="32"/>
  <c r="B6" i="12" s="1"/>
  <c r="B54" i="12"/>
  <c r="B15" i="12"/>
  <c r="K3" i="19"/>
  <c r="D37" i="36"/>
  <c r="J3" i="19"/>
  <c r="D26" i="36"/>
  <c r="D48" i="36"/>
  <c r="L3" i="19"/>
  <c r="D15" i="36"/>
  <c r="I3" i="19"/>
  <c r="F62" i="11"/>
  <c r="C16" i="12" s="1"/>
  <c r="N45" i="11"/>
  <c r="B73" i="12"/>
  <c r="F61" i="11"/>
  <c r="C4" i="24" s="1"/>
  <c r="C71" i="12"/>
  <c r="G59" i="12"/>
  <c r="N46" i="11"/>
  <c r="O4" i="25"/>
  <c r="O5" i="25" s="1"/>
  <c r="B57" i="12" l="1"/>
  <c r="F57" i="12" s="1"/>
  <c r="G24" i="35"/>
  <c r="G20" i="35"/>
  <c r="B42" i="36"/>
  <c r="B43" i="36" s="1"/>
  <c r="F9" i="27"/>
  <c r="F13" i="32"/>
  <c r="H13" i="32" s="1"/>
  <c r="C6" i="12" s="1"/>
  <c r="F12" i="12" s="1"/>
  <c r="B9" i="27"/>
  <c r="D16" i="36"/>
  <c r="D38" i="36"/>
  <c r="E38" i="36" s="1"/>
  <c r="G25" i="35"/>
  <c r="H25" i="35" s="1"/>
  <c r="E11" i="19"/>
  <c r="F16" i="19"/>
  <c r="B55" i="25"/>
  <c r="C67" i="12"/>
  <c r="G67" i="12" s="1"/>
  <c r="G37" i="35"/>
  <c r="F14" i="19"/>
  <c r="C15" i="12"/>
  <c r="C52" i="25" s="1"/>
  <c r="F11" i="19"/>
  <c r="F13" i="19" s="1"/>
  <c r="C68" i="12"/>
  <c r="G68" i="12" s="1"/>
  <c r="E13" i="32"/>
  <c r="B56" i="12"/>
  <c r="B62" i="12" s="1"/>
  <c r="B53" i="36"/>
  <c r="B54" i="36" s="1"/>
  <c r="B20" i="36"/>
  <c r="B21" i="36" s="1"/>
  <c r="B31" i="36"/>
  <c r="B32" i="36" s="1"/>
  <c r="C57" i="12"/>
  <c r="C55" i="25"/>
  <c r="F67" i="12"/>
  <c r="F55" i="12"/>
  <c r="G60" i="12"/>
  <c r="C28" i="36"/>
  <c r="C31" i="36" s="1"/>
  <c r="C32" i="36" s="1"/>
  <c r="C8" i="25"/>
  <c r="C17" i="36"/>
  <c r="C20" i="36" s="1"/>
  <c r="C21" i="36" s="1"/>
  <c r="G49" i="35"/>
  <c r="C6" i="36"/>
  <c r="C9" i="36" s="1"/>
  <c r="C10" i="36" s="1"/>
  <c r="G48" i="35"/>
  <c r="C39" i="36"/>
  <c r="C50" i="36"/>
  <c r="C53" i="25"/>
  <c r="J14" i="19"/>
  <c r="H14" i="19"/>
  <c r="L14" i="19"/>
  <c r="K14" i="19"/>
  <c r="G26" i="36"/>
  <c r="H26" i="36" s="1"/>
  <c r="G6" i="12"/>
  <c r="C5" i="25"/>
  <c r="F54" i="12"/>
  <c r="C54" i="12"/>
  <c r="E26" i="36"/>
  <c r="E37" i="36"/>
  <c r="F6" i="12"/>
  <c r="B5" i="25"/>
  <c r="D4" i="36"/>
  <c r="G15" i="36"/>
  <c r="H15" i="36" s="1"/>
  <c r="E15" i="36"/>
  <c r="B9" i="36"/>
  <c r="B10" i="36" s="1"/>
  <c r="G19" i="35"/>
  <c r="G13" i="12"/>
  <c r="G71" i="12"/>
  <c r="C73" i="12"/>
  <c r="G73" i="12" s="1"/>
  <c r="G61" i="12"/>
  <c r="B74" i="12"/>
  <c r="B16" i="12"/>
  <c r="D4" i="24"/>
  <c r="E4" i="24" s="1"/>
  <c r="F4" i="24" s="1"/>
  <c r="G4" i="24" s="1"/>
  <c r="H4" i="24" s="1"/>
  <c r="D6" i="25" s="1"/>
  <c r="C25" i="24"/>
  <c r="F11" i="27"/>
  <c r="D11" i="27"/>
  <c r="B11" i="27"/>
  <c r="D4" i="25"/>
  <c r="F3" i="19"/>
  <c r="D51" i="25"/>
  <c r="F66" i="12" l="1"/>
  <c r="F69" i="12"/>
  <c r="K11" i="19"/>
  <c r="I14" i="19"/>
  <c r="H16" i="19"/>
  <c r="H8" i="25"/>
  <c r="G8" i="25" s="1"/>
  <c r="E13" i="19"/>
  <c r="J13" i="19" s="1"/>
  <c r="I11" i="19"/>
  <c r="J11" i="19"/>
  <c r="L11" i="19"/>
  <c r="H11" i="19"/>
  <c r="G12" i="12"/>
  <c r="C19" i="12"/>
  <c r="I16" i="19"/>
  <c r="L16" i="19"/>
  <c r="K16" i="19"/>
  <c r="J16" i="19"/>
  <c r="H20" i="35"/>
  <c r="C56" i="12"/>
  <c r="F56" i="12"/>
  <c r="E49" i="36"/>
  <c r="E16" i="36"/>
  <c r="E27" i="36"/>
  <c r="B52" i="25"/>
  <c r="C10" i="12"/>
  <c r="H50" i="35"/>
  <c r="D39" i="36"/>
  <c r="C42" i="36"/>
  <c r="C43" i="36" s="1"/>
  <c r="D6" i="36"/>
  <c r="E6" i="36" s="1"/>
  <c r="D17" i="36"/>
  <c r="D28" i="36"/>
  <c r="E5" i="36"/>
  <c r="D50" i="36"/>
  <c r="C53" i="36"/>
  <c r="C54" i="36" s="1"/>
  <c r="H51" i="25"/>
  <c r="G51" i="25" s="1"/>
  <c r="E4" i="36"/>
  <c r="G4" i="36"/>
  <c r="H4" i="36" s="1"/>
  <c r="H4" i="25"/>
  <c r="G4" i="25" s="1"/>
  <c r="E4" i="25"/>
  <c r="G37" i="36"/>
  <c r="H37" i="36" s="1"/>
  <c r="G48" i="36"/>
  <c r="E6" i="25"/>
  <c r="C6" i="25"/>
  <c r="C74" i="12"/>
  <c r="B19" i="12"/>
  <c r="G7" i="12"/>
  <c r="D25" i="24"/>
  <c r="E25" i="24" s="1"/>
  <c r="F25" i="24" s="1"/>
  <c r="G25" i="24" s="1"/>
  <c r="H25" i="24" s="1"/>
  <c r="D53" i="25" s="1"/>
  <c r="H53" i="25" s="1"/>
  <c r="G53" i="25" s="1"/>
  <c r="F15" i="19"/>
  <c r="E8" i="25"/>
  <c r="B10" i="12"/>
  <c r="E55" i="25"/>
  <c r="E51" i="25"/>
  <c r="I13" i="19" l="1"/>
  <c r="G16" i="36" s="1"/>
  <c r="H16" i="36" s="1"/>
  <c r="H13" i="19"/>
  <c r="G5" i="36" s="1"/>
  <c r="H5" i="36" s="1"/>
  <c r="H9" i="27"/>
  <c r="F68" i="12"/>
  <c r="K13" i="19"/>
  <c r="L13" i="19"/>
  <c r="C62" i="12"/>
  <c r="I10" i="19"/>
  <c r="F17" i="36" s="1"/>
  <c r="L10" i="19"/>
  <c r="F50" i="36" s="1"/>
  <c r="H10" i="19"/>
  <c r="F6" i="36" s="1"/>
  <c r="J10" i="19"/>
  <c r="F28" i="36" s="1"/>
  <c r="K10" i="19"/>
  <c r="F39" i="36" s="1"/>
  <c r="E17" i="36"/>
  <c r="D20" i="36"/>
  <c r="E53" i="25"/>
  <c r="E50" i="36"/>
  <c r="D53" i="36"/>
  <c r="E28" i="36"/>
  <c r="D31" i="36"/>
  <c r="E39" i="36"/>
  <c r="D42" i="36"/>
  <c r="D9" i="36"/>
  <c r="D10" i="36" s="1"/>
  <c r="E10" i="36" s="1"/>
  <c r="E17" i="19"/>
  <c r="C9" i="25"/>
  <c r="B9" i="25"/>
  <c r="D5" i="25"/>
  <c r="H11" i="27"/>
  <c r="H5" i="25" l="1"/>
  <c r="G5" i="25" s="1"/>
  <c r="G38" i="36"/>
  <c r="H38" i="36" s="1"/>
  <c r="D61" i="12"/>
  <c r="D62" i="12"/>
  <c r="D58" i="12"/>
  <c r="D59" i="12"/>
  <c r="D60" i="12"/>
  <c r="D55" i="12"/>
  <c r="D54" i="12"/>
  <c r="D57" i="12"/>
  <c r="D56" i="12"/>
  <c r="G28" i="36"/>
  <c r="H28" i="36" s="1"/>
  <c r="G17" i="36"/>
  <c r="H17" i="36" s="1"/>
  <c r="G50" i="36"/>
  <c r="H50" i="36" s="1"/>
  <c r="E9" i="36"/>
  <c r="G39" i="36"/>
  <c r="H39" i="36" s="1"/>
  <c r="D43" i="36"/>
  <c r="E43" i="36" s="1"/>
  <c r="E42" i="36"/>
  <c r="D32" i="36"/>
  <c r="E32" i="36" s="1"/>
  <c r="E31" i="36"/>
  <c r="E53" i="36"/>
  <c r="D54" i="36"/>
  <c r="E54" i="36" s="1"/>
  <c r="D21" i="36"/>
  <c r="E21" i="36" s="1"/>
  <c r="E20" i="36"/>
  <c r="G6" i="36"/>
  <c r="H6" i="36" s="1"/>
  <c r="G27" i="36"/>
  <c r="H27" i="36" s="1"/>
  <c r="G49" i="36"/>
  <c r="H49" i="36" s="1"/>
  <c r="B10" i="25"/>
  <c r="B4" i="27"/>
  <c r="C8" i="27" s="1"/>
  <c r="C10" i="25"/>
  <c r="D4" i="27"/>
  <c r="H55" i="25"/>
  <c r="G55" i="25" s="1"/>
  <c r="F56" i="25"/>
  <c r="F9" i="25"/>
  <c r="F10" i="25" s="1"/>
  <c r="H6" i="25"/>
  <c r="G6" i="25" s="1"/>
  <c r="E5" i="25"/>
  <c r="D9" i="25"/>
  <c r="F4" i="27" s="1"/>
  <c r="G8" i="27" s="1"/>
  <c r="J6" i="25"/>
  <c r="C11" i="27" l="1"/>
  <c r="H17" i="19"/>
  <c r="C9" i="27"/>
  <c r="E9" i="27"/>
  <c r="E10" i="27"/>
  <c r="E8" i="27"/>
  <c r="E11" i="27"/>
  <c r="I17" i="19"/>
  <c r="J17" i="19"/>
  <c r="K17" i="19"/>
  <c r="L17" i="19"/>
  <c r="C10" i="27"/>
  <c r="E9" i="25"/>
  <c r="D10" i="25"/>
  <c r="E10" i="25" s="1"/>
  <c r="H9" i="25"/>
  <c r="H4" i="27" s="1"/>
  <c r="J9" i="25"/>
  <c r="J11" i="25"/>
  <c r="I8" i="27" l="1"/>
  <c r="I9" i="27"/>
  <c r="I10" i="27"/>
  <c r="I11" i="27"/>
  <c r="I13" i="27" s="1"/>
  <c r="G30" i="36"/>
  <c r="H30" i="36" s="1"/>
  <c r="F31" i="36"/>
  <c r="G19" i="36"/>
  <c r="H19" i="36" s="1"/>
  <c r="F20" i="36"/>
  <c r="G8" i="36"/>
  <c r="H8" i="36" s="1"/>
  <c r="F9" i="36"/>
  <c r="G52" i="36"/>
  <c r="H52" i="36" s="1"/>
  <c r="F53" i="36"/>
  <c r="G41" i="36"/>
  <c r="H41" i="36" s="1"/>
  <c r="F42" i="36"/>
  <c r="G9" i="25"/>
  <c r="H10" i="25"/>
  <c r="G10" i="25" s="1"/>
  <c r="G10" i="27"/>
  <c r="G9" i="27"/>
  <c r="G11" i="27"/>
  <c r="F54" i="36" l="1"/>
  <c r="G53" i="36"/>
  <c r="F10" i="36"/>
  <c r="G9" i="36"/>
  <c r="F21" i="36"/>
  <c r="G20" i="36"/>
  <c r="F43" i="36"/>
  <c r="G42" i="36"/>
  <c r="F32" i="36"/>
  <c r="G31" i="36"/>
  <c r="E11" i="5"/>
  <c r="H9" i="36" l="1"/>
  <c r="G10" i="36"/>
  <c r="H10" i="36" s="1"/>
  <c r="G21" i="36"/>
  <c r="H21" i="36" s="1"/>
  <c r="H20" i="36"/>
  <c r="G54" i="36"/>
  <c r="H54" i="36" s="1"/>
  <c r="H53" i="36"/>
  <c r="G43" i="36"/>
  <c r="H43" i="36" s="1"/>
  <c r="H42" i="36"/>
  <c r="G32" i="36"/>
  <c r="H32" i="36" s="1"/>
  <c r="H31" i="36"/>
  <c r="F17" i="19"/>
  <c r="C56" i="25" l="1"/>
  <c r="K52" i="25" s="1"/>
  <c r="D52" i="25"/>
  <c r="H52" i="25" s="1"/>
  <c r="B56" i="25"/>
  <c r="J52" i="25" s="1"/>
  <c r="G52" i="25" l="1"/>
  <c r="E52" i="25"/>
  <c r="D56" i="25"/>
  <c r="H56" i="25" s="1"/>
  <c r="J54" i="25"/>
  <c r="J53" i="25"/>
  <c r="J55" i="25"/>
  <c r="J51" i="25"/>
  <c r="J56" i="25"/>
  <c r="K55" i="25"/>
  <c r="K56" i="25"/>
  <c r="K53" i="25"/>
  <c r="K54" i="25"/>
  <c r="K51" i="25"/>
  <c r="L53" i="25" l="1"/>
  <c r="G56" i="25"/>
  <c r="E56" i="25"/>
  <c r="L55" i="25"/>
  <c r="L51" i="25"/>
  <c r="L54" i="25"/>
  <c r="L52" i="25"/>
</calcChain>
</file>

<file path=xl/comments1.xml><?xml version="1.0" encoding="utf-8"?>
<comments xmlns="http://schemas.openxmlformats.org/spreadsheetml/2006/main">
  <authors>
    <author>Autor</author>
  </authors>
  <commentList>
    <comment ref="E54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nowy dom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D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PGNiG- liczba dostarczonego gazu dla gosp. Domowych wyniosła 663300 m3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D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PGNiG za lata 2010 i 2015
</t>
        </r>
      </text>
    </comment>
    <comment ref="G5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Zuzycie GUS na1 gosp. W roku 2010: 1954,1 kWh</t>
        </r>
      </text>
    </comment>
  </commentList>
</comments>
</file>

<file path=xl/comments4.xml><?xml version="1.0" encoding="utf-8"?>
<comments xmlns="http://schemas.openxmlformats.org/spreadsheetml/2006/main">
  <authors>
    <author>Autor</author>
  </authors>
  <commentList>
    <comment ref="B9" authorId="0" shapeId="0">
      <text>
        <r>
          <rPr>
            <b/>
            <sz val="9"/>
            <color indexed="81"/>
            <rFont val="Tahoma"/>
            <family val="2"/>
            <charset val="238"/>
          </rPr>
          <t>Autor:</t>
        </r>
        <r>
          <rPr>
            <sz val="9"/>
            <color indexed="81"/>
            <rFont val="Tahoma"/>
            <family val="2"/>
            <charset val="238"/>
          </rPr>
          <t xml:space="preserve">
dane NFOŚiGW nt pow. Zainstalowanej kolektorów w latach 2010-2015. Zakłada się moc instalacji w wys. 1750W/m2.
</t>
        </r>
      </text>
    </comment>
  </commentList>
</comments>
</file>

<file path=xl/sharedStrings.xml><?xml version="1.0" encoding="utf-8"?>
<sst xmlns="http://schemas.openxmlformats.org/spreadsheetml/2006/main" count="1778" uniqueCount="365">
  <si>
    <t>Suma</t>
  </si>
  <si>
    <t>MWh</t>
  </si>
  <si>
    <t>Mg/MWh</t>
  </si>
  <si>
    <t>Mg</t>
  </si>
  <si>
    <t>GJ/Mg</t>
  </si>
  <si>
    <t>MWh/Mg</t>
  </si>
  <si>
    <t>Mg/GJ</t>
  </si>
  <si>
    <t>Węgiel kamienny</t>
  </si>
  <si>
    <t>Olej napędowy</t>
  </si>
  <si>
    <t>Benzyna silnikowa</t>
  </si>
  <si>
    <t>Olej opałowy</t>
  </si>
  <si>
    <t>Gaz ziemny</t>
  </si>
  <si>
    <t>LPG</t>
  </si>
  <si>
    <t>Paliwo</t>
  </si>
  <si>
    <t>Wartość opałowa</t>
  </si>
  <si>
    <t>Wskaźnik emisji CO2</t>
  </si>
  <si>
    <t>Energia elektryczna</t>
  </si>
  <si>
    <t>-</t>
  </si>
  <si>
    <t>Podmiot</t>
  </si>
  <si>
    <t>Zużycie energii elektrycznej</t>
  </si>
  <si>
    <t>Jednostka</t>
  </si>
  <si>
    <t>Lp.</t>
  </si>
  <si>
    <t>Ilość zużywanego paliwa</t>
  </si>
  <si>
    <t>Gęstość</t>
  </si>
  <si>
    <t>kg/m3</t>
  </si>
  <si>
    <t>m3</t>
  </si>
  <si>
    <t>SUMA</t>
  </si>
  <si>
    <t>h</t>
  </si>
  <si>
    <t>Zużycie energii</t>
  </si>
  <si>
    <t>Ilość opraw</t>
  </si>
  <si>
    <t>szt.</t>
  </si>
  <si>
    <t>W</t>
  </si>
  <si>
    <t xml:space="preserve"> Emisji CO2 </t>
  </si>
  <si>
    <t>Mg/rok</t>
  </si>
  <si>
    <t>MWh/rok</t>
  </si>
  <si>
    <t>Emisja CO2</t>
  </si>
  <si>
    <t>Nazwa</t>
  </si>
  <si>
    <t>Rodzaj pojazdu</t>
  </si>
  <si>
    <t>Autobusy</t>
  </si>
  <si>
    <t>Samochody ciężarowe</t>
  </si>
  <si>
    <t>Motocykle</t>
  </si>
  <si>
    <t>Samochody osobowe</t>
  </si>
  <si>
    <t>Ciągniki rolnicze</t>
  </si>
  <si>
    <t>Rodzaj paliwa</t>
  </si>
  <si>
    <t>Benzyna</t>
  </si>
  <si>
    <t>Rodzaj drogi</t>
  </si>
  <si>
    <t>Wojewódzka</t>
  </si>
  <si>
    <t>Powiatowa</t>
  </si>
  <si>
    <t>Gminna</t>
  </si>
  <si>
    <t>Długość [km]</t>
  </si>
  <si>
    <t>Samochody Ciężarowe</t>
  </si>
  <si>
    <t>Razem</t>
  </si>
  <si>
    <t>Liczba przejechanych kilometrów (mln km)</t>
  </si>
  <si>
    <t>Rozkład pojazdów (%ogólnej liczby przejechanych kilometrów) ustalonych na etapie gromadzenia danych</t>
  </si>
  <si>
    <t>Ogółem</t>
  </si>
  <si>
    <t>Średnie zużycie paliwa (l/km) ustalone na etapie gromadzenia danych</t>
  </si>
  <si>
    <t>Wyliczona liczba przejechanych kilometrów (mln km)</t>
  </si>
  <si>
    <t>Wyliczone zużycie paliwa (mln l)</t>
  </si>
  <si>
    <t>Wyliczone zużycie paliwa (MWh)</t>
  </si>
  <si>
    <t>Mg/l</t>
  </si>
  <si>
    <t>MWh/l</t>
  </si>
  <si>
    <t>Wyliczona emisja CO2 (Mg)</t>
  </si>
  <si>
    <t>Zastosowane paliwo</t>
  </si>
  <si>
    <t>Suma zużytego paliwa</t>
  </si>
  <si>
    <t>Udziały w uzyciu rodzaju paliwa</t>
  </si>
  <si>
    <t>Osobowy</t>
  </si>
  <si>
    <t>Cezarowy</t>
  </si>
  <si>
    <t xml:space="preserve">motocykl </t>
  </si>
  <si>
    <t>Autobus</t>
  </si>
  <si>
    <t>Sektor</t>
  </si>
  <si>
    <t>Obiekty publiczne</t>
  </si>
  <si>
    <t>Obiekty mieszkalne</t>
  </si>
  <si>
    <t>Transport</t>
  </si>
  <si>
    <t>Oświetlenie</t>
  </si>
  <si>
    <t>Usługi, handel, przemysł</t>
  </si>
  <si>
    <t>Nazwa zadania</t>
  </si>
  <si>
    <t>Podmiot odpowiedzialny</t>
  </si>
  <si>
    <t>Termin realizacji zadania</t>
  </si>
  <si>
    <t>Roczne oszczędności energii</t>
  </si>
  <si>
    <t>Szacowane koszty</t>
  </si>
  <si>
    <t>[MWh/rok]</t>
  </si>
  <si>
    <t>[zł]</t>
  </si>
  <si>
    <t>Charakterystyka budynku</t>
  </si>
  <si>
    <t>Zużycie paliwa</t>
  </si>
  <si>
    <t xml:space="preserve">Zużycie paliwa </t>
  </si>
  <si>
    <t>Wkaźniki emisji</t>
  </si>
  <si>
    <t>Wielkość energii kotły</t>
  </si>
  <si>
    <t>Wielkość emisji kotły</t>
  </si>
  <si>
    <t>Gęstość paliwa</t>
  </si>
  <si>
    <t>Budynek</t>
  </si>
  <si>
    <t>Rok budowy</t>
  </si>
  <si>
    <t>Stosowne paliwo</t>
  </si>
  <si>
    <t>MWh/t</t>
  </si>
  <si>
    <t>t/MWh</t>
  </si>
  <si>
    <t>kg/dm3</t>
  </si>
  <si>
    <t>Zainstalowana moc opraw</t>
  </si>
  <si>
    <t>Krajowe</t>
  </si>
  <si>
    <t>BAZA DANYCH</t>
  </si>
  <si>
    <t>Stosowane paliwo</t>
  </si>
  <si>
    <t>Zużycie energii ze spalanego paliwa</t>
  </si>
  <si>
    <t>Wskaźnik emisji</t>
  </si>
  <si>
    <t xml:space="preserve"> Emisja CO2 ze spalnego paliwa</t>
  </si>
  <si>
    <t xml:space="preserve"> Emisja CO2
z energii elektrycznej</t>
  </si>
  <si>
    <t>Łączna emisja CO2</t>
  </si>
  <si>
    <t>Mg CO2</t>
  </si>
  <si>
    <t>Suma Emisji CO2 Mg</t>
  </si>
  <si>
    <t>Czas świecenia</t>
  </si>
  <si>
    <t>Rodzaj spalanego paliwa</t>
  </si>
  <si>
    <t>Powierzchnia ogrzewana
 [m2]</t>
  </si>
  <si>
    <r>
      <t>Roczna redukcja emisji CO</t>
    </r>
    <r>
      <rPr>
        <b/>
        <vertAlign val="subscript"/>
        <sz val="10"/>
        <color theme="1"/>
        <rFont val="Calibri"/>
        <family val="2"/>
        <charset val="238"/>
        <scheme val="minor"/>
      </rPr>
      <t>2</t>
    </r>
  </si>
  <si>
    <r>
      <t>MgCO</t>
    </r>
    <r>
      <rPr>
        <b/>
        <vertAlign val="subscript"/>
        <sz val="10"/>
        <color theme="1"/>
        <rFont val="Calibri"/>
        <family val="2"/>
        <charset val="238"/>
        <scheme val="minor"/>
      </rPr>
      <t>2</t>
    </r>
    <r>
      <rPr>
        <b/>
        <sz val="10"/>
        <color theme="1"/>
        <rFont val="Calibri"/>
        <family val="2"/>
        <charset val="238"/>
        <scheme val="minor"/>
      </rPr>
      <t>/rok]</t>
    </r>
  </si>
  <si>
    <t xml:space="preserve">Ulica </t>
  </si>
  <si>
    <t>Nr domu</t>
  </si>
  <si>
    <t>Sposób przygotowania cwu</t>
  </si>
  <si>
    <t>gaz ziemny</t>
  </si>
  <si>
    <t>węgiel kamienny</t>
  </si>
  <si>
    <t>olej opałowy</t>
  </si>
  <si>
    <t>wolnostojący</t>
  </si>
  <si>
    <t>kocioł</t>
  </si>
  <si>
    <t>kWh</t>
  </si>
  <si>
    <t>pompa ciepła</t>
  </si>
  <si>
    <t>Wolnostojący</t>
  </si>
  <si>
    <t>Kocioł</t>
  </si>
  <si>
    <t>gęstoś</t>
  </si>
  <si>
    <t>Ankietyzacja</t>
  </si>
  <si>
    <t>Gmina</t>
  </si>
  <si>
    <t>Zużycie energii MWh</t>
  </si>
  <si>
    <t>Licza gospodarstw</t>
  </si>
  <si>
    <t>Zużycie energii elektrycznej MWh</t>
  </si>
  <si>
    <t>UG</t>
  </si>
  <si>
    <t>Rodzaj opraw</t>
  </si>
  <si>
    <t>Ludność- wielolecie</t>
  </si>
  <si>
    <t>Ludność - prognoza</t>
  </si>
  <si>
    <t>Powierzchnia użytkowa mieszkań- wielolecie</t>
  </si>
  <si>
    <t>Powierzchnia użytkowa mieszkań- prognoza</t>
  </si>
  <si>
    <t>Podmioty gospodarki narodowej- wielolecie</t>
  </si>
  <si>
    <t>Podmioty gospodarki narodowej- prognoza</t>
  </si>
  <si>
    <t>Rok</t>
  </si>
  <si>
    <t>Wskaźniki wzrostu</t>
  </si>
  <si>
    <t>Emisja</t>
  </si>
  <si>
    <t>Transport lokalny</t>
  </si>
  <si>
    <t>MWh/os. (m2)</t>
  </si>
  <si>
    <t>Bydynki mieszkalne bez zmian</t>
  </si>
  <si>
    <t>Bydynki mieszkalne plus termomodernizacja</t>
  </si>
  <si>
    <t>Bydynki mieszkalne przyłączone do sieci</t>
  </si>
  <si>
    <t xml:space="preserve">Urząd Gminy </t>
  </si>
  <si>
    <t>`</t>
  </si>
  <si>
    <t xml:space="preserve"> Emisja CO2</t>
  </si>
  <si>
    <t>2020- wariant bazowy BaU bez podjęcia działań Planu</t>
  </si>
  <si>
    <t>Wzrost/redukcja w stosunku do roku bazowego bez podjęcia działań Planu</t>
  </si>
  <si>
    <t>2020- wariant docelowy- cel redukcji Gminy</t>
  </si>
  <si>
    <t>[%]</t>
  </si>
  <si>
    <t>Inwestorzy prywatni</t>
  </si>
  <si>
    <t>Zakup i montaż instalacji fotowoltaicznych przez prywatnych inwestorów</t>
  </si>
  <si>
    <t>Produkcja energii z OZE</t>
  </si>
  <si>
    <t>Zużycie energii w Gminie:</t>
  </si>
  <si>
    <t>Udział OZE</t>
  </si>
  <si>
    <t>Udział OZE w stosunku do roku bazowego</t>
  </si>
  <si>
    <t>W podziale na sektory:</t>
  </si>
  <si>
    <t>Udział OZE:</t>
  </si>
  <si>
    <t xml:space="preserve">Planowana wartość redukcji- cel redukcji </t>
  </si>
  <si>
    <t>Wzrost udziału OZE w roku 2020 w stosunku do roku bazowego-wariant docelowy:</t>
  </si>
  <si>
    <t>Drewno opałowe</t>
  </si>
  <si>
    <t>drewno opałowe</t>
  </si>
  <si>
    <t>Wskaźniki emisji opisują ile ton CO2 przypada na jednostkę zużycia poszczególnych nośników energii.
W obliczeniach wykorzystano standardowe wskaźniki według wytycznych IPPC, uaktualnione wytycznymi KOBIZE, które obejmują całość emisji CO2, wynikłej z końcowego zużycia energii na terenie gminy.</t>
  </si>
  <si>
    <t>Adres</t>
  </si>
  <si>
    <t>Średni przyrot roczny:</t>
  </si>
  <si>
    <t>Województwo śląskie- dane za lata 2004-2007</t>
  </si>
  <si>
    <t>Statystyczny rozkład ilości zarejestrownych pojazdów woj.śląskiego wg zużywanego nośnika:</t>
  </si>
  <si>
    <t>TRANSPORT LOKALNY-2010r.</t>
  </si>
  <si>
    <t>Transport lokalny- zużycie energii</t>
  </si>
  <si>
    <t>Transport lokalny- emisja CO2</t>
  </si>
  <si>
    <t>Zużycie</t>
  </si>
  <si>
    <t>TRANSPORT LOKALNY-2015r.</t>
  </si>
  <si>
    <t>2010 rok</t>
  </si>
  <si>
    <t>2015 rok</t>
  </si>
  <si>
    <t xml:space="preserve">Emisja CO2 </t>
  </si>
  <si>
    <t>Bilans energetyczny w sektorze Obiektów Publicznych:</t>
  </si>
  <si>
    <t>Bilans energetyczny w sektorze Transportu Lokalnego:</t>
  </si>
  <si>
    <t>Bilans energetyczny w sektorze Oświetlenia:</t>
  </si>
  <si>
    <t>Własność</t>
  </si>
  <si>
    <t xml:space="preserve">TAURON Dystrybucja </t>
  </si>
  <si>
    <t>OGÓŁEM:</t>
  </si>
  <si>
    <t>Miejscowość</t>
  </si>
  <si>
    <t>Liczba samochodów w gospodarstwie</t>
  </si>
  <si>
    <t xml:space="preserve">Średnia ilość pokonywanej trasy </t>
  </si>
  <si>
    <t>km/m-c</t>
  </si>
  <si>
    <t>typ</t>
  </si>
  <si>
    <t>olej napędowy</t>
  </si>
  <si>
    <t>Planowana modernizacja do 2020 roku</t>
  </si>
  <si>
    <t>wymiana okien</t>
  </si>
  <si>
    <t>Przeprowadzone modernizacje do 2015 roku</t>
  </si>
  <si>
    <t>benzyna</t>
  </si>
  <si>
    <t>kolektory słoneczne</t>
  </si>
  <si>
    <t>termomodernizacja</t>
  </si>
  <si>
    <t>modernizacja kotłowni</t>
  </si>
  <si>
    <t>Słoneczna</t>
  </si>
  <si>
    <t>kociol</t>
  </si>
  <si>
    <t>panele fotowoltaiczne</t>
  </si>
  <si>
    <t>Bilans energetyczny w sektorze Obiektów Prywatnych:</t>
  </si>
  <si>
    <t>Obiekty prywatne</t>
  </si>
  <si>
    <t>Bilans energetyczny w sektorze Przedsiębiorstw:</t>
  </si>
  <si>
    <t>Przedsiębiorcy</t>
  </si>
  <si>
    <t>Średnia liczba pokonywanych kilometrów przez ankietowanych:</t>
  </si>
  <si>
    <t>Średnia liczba pokonywanych kilometrów przez mieszkańców:</t>
  </si>
  <si>
    <t>Liczba pojazdów poddanych ankiecie:</t>
  </si>
  <si>
    <t>km/rok</t>
  </si>
  <si>
    <t>km/rok/gminę</t>
  </si>
  <si>
    <t>2010 rok:</t>
  </si>
  <si>
    <t>2015 rok:</t>
  </si>
  <si>
    <t>Zakup i montaż kolektorów słonecznych przez mieszkańców</t>
  </si>
  <si>
    <t>Działania termomodernizacje wraz z modernizacją kotłowni prywatnych</t>
  </si>
  <si>
    <t>Zakup i montaż instalacji fotowoltaicznych przez mieszkańców</t>
  </si>
  <si>
    <t>Zakup i montaż instalacji pomp ciepła przez mieszkańców</t>
  </si>
  <si>
    <t>2016-2020</t>
  </si>
  <si>
    <t>Zarzadzanie efektywnością energetyczną:
• zarządzanie energią w obiektach użyteczności publicznej,                                                                                             • promowanie energetyki odnawialnej w ramach kampanii marketingowej dla mieszkańców/ broszura informacyjno- promująca OZE i ograniczanie zużycia energii oraz podnoszenie świadomości mieszkańców Gminy w zakresie działań redukujących przekroczenia pyłu PM10 oraz b(a)p 
•  uwzględnianie kryteriów efektywności energetycznej w definiowaniu wymagań dotyczących zakupu produktów i usług,
•  wspieranie produktów i usług efektywnych energetycznie
• promowanie energetyki odnawialnej w ramach kampanii marketingowej dla mieszkańców/ broszura informacyjno- promująca OZE i ograniczanie zużycia energii</t>
  </si>
  <si>
    <t>Modernizacja dórg gminnych</t>
  </si>
  <si>
    <t>środki prywatne</t>
  </si>
  <si>
    <t>Planowana wartość redukcji w stosunku do roku bazowego</t>
  </si>
  <si>
    <t>*w przeliczeniu na mieszkańca:</t>
  </si>
  <si>
    <t>2010  BEI</t>
  </si>
  <si>
    <t>ZAŁOŻENIA:</t>
  </si>
  <si>
    <t>Zanieczyszczenie</t>
  </si>
  <si>
    <t>jednostka</t>
  </si>
  <si>
    <t>Paliwo stałe z wyłączeniem biomasy</t>
  </si>
  <si>
    <t>Biomasa drewno</t>
  </si>
  <si>
    <t>Gaz ciekły w budownictwie</t>
  </si>
  <si>
    <t>TRANSPORT</t>
  </si>
  <si>
    <t>Kocioł starej generacji</t>
  </si>
  <si>
    <t>Kocioł automatyczny nowej generacji</t>
  </si>
  <si>
    <t>Gaz ciekły</t>
  </si>
  <si>
    <t>Pył PM 10</t>
  </si>
  <si>
    <t>g/GJ</t>
  </si>
  <si>
    <t>Mg/Gg</t>
  </si>
  <si>
    <t>Pył PM 2,5</t>
  </si>
  <si>
    <t>B(a)P</t>
  </si>
  <si>
    <t>mg/GJ</t>
  </si>
  <si>
    <t>kg/Gg</t>
  </si>
  <si>
    <t>SOx</t>
  </si>
  <si>
    <t>kg/Mg</t>
  </si>
  <si>
    <t>NOx</t>
  </si>
  <si>
    <t>PM10</t>
  </si>
  <si>
    <t>PM2.5</t>
  </si>
  <si>
    <t>SO x</t>
  </si>
  <si>
    <t>NO x</t>
  </si>
  <si>
    <t>b(a)p</t>
  </si>
  <si>
    <t>SUMA [Mg/rok]:</t>
  </si>
  <si>
    <t>Emisja PM 10</t>
  </si>
  <si>
    <t>Wzrost/ redukcja energii w roku 2020 bez podejmowania działań Planu</t>
  </si>
  <si>
    <t>Planowana wartość redukcji</t>
  </si>
  <si>
    <t>Emisja w roku 2020 w wyniku podjęcia działań Planu</t>
  </si>
  <si>
    <t>Cel redukcji w stosunku do roku bazowego</t>
  </si>
  <si>
    <t>[Mg/rok]</t>
  </si>
  <si>
    <t>%</t>
  </si>
  <si>
    <t>* w przeliczeniu na mieszkańca</t>
  </si>
  <si>
    <t>Emisja PM 2,5</t>
  </si>
  <si>
    <t>Emisja SO x</t>
  </si>
  <si>
    <t>Emisja NO x</t>
  </si>
  <si>
    <t>Emisja b(a)p</t>
  </si>
  <si>
    <t>Redukcja emisji PM10</t>
  </si>
  <si>
    <t>Redukcja emisji PM2,5</t>
  </si>
  <si>
    <t>Redukcja emisji SO x</t>
  </si>
  <si>
    <t>Redukcja emisji NO x</t>
  </si>
  <si>
    <t>Redukcja emisji b(a)p</t>
  </si>
  <si>
    <t>Modernizacja kotłowni prywatnych przedsiębiorstw</t>
  </si>
  <si>
    <t>PLAN GOSPODARKI NISKOEMISYJNEJ DLA GMINY KAMIENICA POLSKA</t>
  </si>
  <si>
    <t>Gminny Ośrodek Kultury, Sportu i Rekreacji</t>
  </si>
  <si>
    <t>ul. M.Konopnickiej 135A,             42-260 Kamienica Polska</t>
  </si>
  <si>
    <t>Filia w Osinach Szkoły Podstawowej im. H. Sienkiewicza w Zespole Szkół w Kamienicy Polskiej</t>
  </si>
  <si>
    <t>Osiny, ul. Częstochowska 165, 42-260 Kamienica Polska</t>
  </si>
  <si>
    <t>wymieniono okna 2010r.</t>
  </si>
  <si>
    <t>ul. M.Konopnickiej 12,             42-260 Kamienica Polska</t>
  </si>
  <si>
    <t>ocieplono stropodach 2015r.</t>
  </si>
  <si>
    <t>Urząd Gminy Kamienica Polska</t>
  </si>
  <si>
    <t xml:space="preserve">Budynek Hali Sportowej </t>
  </si>
  <si>
    <t>ul. Konopnickiej 12B, 42-260 Kamienica Polska</t>
  </si>
  <si>
    <t>Muzeum Regionalne</t>
  </si>
  <si>
    <t>ul. Konopnickiej 189, 42-260 Kamienica Polska</t>
  </si>
  <si>
    <t>Szkoła Podstawowa im. H. Sienkiewicza w Zespole Szkół w kamienicy Polskiej</t>
  </si>
  <si>
    <t>ul.A. Ferensa 12A, 42-260 Kamienica Polska</t>
  </si>
  <si>
    <t>ocieplono ściany w 2006 r. oraz wyminiono okna w 2005r.</t>
  </si>
  <si>
    <t>Szkoła Podstawowa</t>
  </si>
  <si>
    <t>ul. Konopnickiej 226, 42-260 Kamienica Polska</t>
  </si>
  <si>
    <t>Przedszkole</t>
  </si>
  <si>
    <t>ul. Konopnickiej 11a, 42-260 Kamienica Polska</t>
  </si>
  <si>
    <t>ul. Słoneczna 186, Rudnik Wielki</t>
  </si>
  <si>
    <t>ul. Zawisna 69</t>
  </si>
  <si>
    <t>Kamienica Polska</t>
  </si>
  <si>
    <t>Konopnickiej</t>
  </si>
  <si>
    <t>ocieplenie stropu</t>
  </si>
  <si>
    <t>Kopalniania</t>
  </si>
  <si>
    <t>Zawada</t>
  </si>
  <si>
    <t>Botaniczna</t>
  </si>
  <si>
    <t>bliźniak</t>
  </si>
  <si>
    <t>Długa</t>
  </si>
  <si>
    <t>bd</t>
  </si>
  <si>
    <t>Zawisna</t>
  </si>
  <si>
    <t>Domagalska</t>
  </si>
  <si>
    <t>Rudnik Wielki</t>
  </si>
  <si>
    <t>Magazynowa</t>
  </si>
  <si>
    <t>Wanaty</t>
  </si>
  <si>
    <t>Warszawska</t>
  </si>
  <si>
    <t>Wierzbowa</t>
  </si>
  <si>
    <t>Karoliny</t>
  </si>
  <si>
    <t>19a</t>
  </si>
  <si>
    <t>Świętej Karoliny</t>
  </si>
  <si>
    <t>Jastrzębska</t>
  </si>
  <si>
    <t>Domagalskiej</t>
  </si>
  <si>
    <t xml:space="preserve">Południowa </t>
  </si>
  <si>
    <t>32D</t>
  </si>
  <si>
    <t>32E</t>
  </si>
  <si>
    <t>32A</t>
  </si>
  <si>
    <t>36B</t>
  </si>
  <si>
    <t>Ferensa</t>
  </si>
  <si>
    <t>31A</t>
  </si>
  <si>
    <t>Osiedlowa</t>
  </si>
  <si>
    <t>Gaz ziemny wg PGNiG:
'- liczba odbiorców - 970
'- zużycie 645,9 tys m3</t>
  </si>
  <si>
    <t>Przychodnia lekarska w Kamienicy Polskiej</t>
  </si>
  <si>
    <t>EKOPOL Sp. z o.o., ul.Botaniczna 30, 42-260 Zawada</t>
  </si>
  <si>
    <t>montaż kolektorów słonecznych</t>
  </si>
  <si>
    <t>Zakład Wielobranżowy "bonex" Miroslwa Nowowiejski, ul. Marii Konopnickiej 259, 42-260 Kamienica Polska</t>
  </si>
  <si>
    <t xml:space="preserve">PHP YABRA Sp. z o.o., REGON 002747772
</t>
  </si>
  <si>
    <t>Przedsiębiorstwo Produkcyjno-Handlowo-Usługowe "HUR-POL" Huras Sebastian, REGON 15037272</t>
  </si>
  <si>
    <t>H.Z. Transport Poland Sp. z o.o., REGON 150503377</t>
  </si>
  <si>
    <t>ZPH"EMAR" Marchewka Emilian, REGON 150073669</t>
  </si>
  <si>
    <t>NEDPOL TRUCK SERVICE SPÓŁKA Z OGRANICZONĄ ODPOWIEDZIALNOŚCIĄ, REGON 150552849</t>
  </si>
  <si>
    <t>GEMMA, REGON 150594300</t>
  </si>
  <si>
    <t>PRZEDSIĘBIORSTWO WIELOBRANŻOWE KRZYSZTOF LEWICKI, REGON 150876894</t>
  </si>
  <si>
    <t>DZIAŁALNOŚĆ GASTRONOMICZNA "RYBKA" MAREK STRZELECKI, REGON 150899145</t>
  </si>
  <si>
    <t>PRZEDSIĘBIORSTWO PRODUKCYJNO-HANDLOWE KAR-MAR ELŻBIETA KUŚMIEREK, REGON 15101211</t>
  </si>
  <si>
    <t>Z.P.H.U. "MET-GAL" S.C. JERZY BLACHNICKI,WIESŁAWA BLACHNICKA, REGON 002767585</t>
  </si>
  <si>
    <t xml:space="preserve">ZPH"EMAR" Marchewka Emilian, REGON 150073669
</t>
  </si>
  <si>
    <t xml:space="preserve">Przedsiębiorstwo Produkcyjno-Handlowo-Usługowe "HUR-POL" Huras Sebastian, REGON 15037272
</t>
  </si>
  <si>
    <t xml:space="preserve">OCHRONA ŚRODOWISKA SPÓŁKA Z OGRANICZONĄ ODPOWIEDZIALNOŚCIĄ, REGON 150514010
</t>
  </si>
  <si>
    <t>EKOPOL Sp. z o.o., REGON 271243830</t>
  </si>
  <si>
    <t>WOJ.ŚLĄSKIE  liczba mieszkańców</t>
  </si>
  <si>
    <t>Gmina Liczba mieszkańców</t>
  </si>
  <si>
    <t>Zużycie w województwie [kWh]</t>
  </si>
  <si>
    <t>Gmina zużycie [kWh]</t>
  </si>
  <si>
    <t>SGS lampy sodowe</t>
  </si>
  <si>
    <t>Handel, usługi i przemysł</t>
  </si>
  <si>
    <t>Bilans eneregtyczny Gminy:</t>
  </si>
  <si>
    <t>Produkcja energii z OZE w wyniku Planu Działań</t>
  </si>
  <si>
    <t>Działania nieinwestycyjnie związane z realizacją zasady zielonych zamówień publicznych, tj. wskazanie aspektu oszczędności energii i redukcji emisji CO2 przy określaniu SIWZ i Programów Funkcjonalno- użytkowych, usprawnienia dla instalacji OZE ujęte w Planie ZagospodarowaniaPrzestrzennego</t>
  </si>
  <si>
    <t>Bilans energtyczny Gminy Kamienica Polska z uwzględnieniem udziału energii pochodzącej z OZE do roku 2020:</t>
  </si>
  <si>
    <t>Bilans energetyczny Gminy Kamienica Polska wraz z prognozą:</t>
  </si>
  <si>
    <t>Termomodernizacja budynku Gminnego Ośrodka Kultury, Sportu i Rekreacji w Kamienicy Polskiej</t>
  </si>
  <si>
    <t xml:space="preserve">Termomodernizacja budynku Urzędu Gminy i Ośrodka Zdrowia w Kamienicy Polskiej </t>
  </si>
  <si>
    <t>Termomodernizacja budynku Przedszkola w Kamienicy Polskiej</t>
  </si>
  <si>
    <t>Termomodernizacja budynku Zespołu Szkół w Kamienicy Polskiej</t>
  </si>
  <si>
    <t>2017-2020</t>
  </si>
  <si>
    <t>Wymiana lamp sodowych na ledowe oświetlenia drogowego na terenie Gminy Kamienica Polska</t>
  </si>
  <si>
    <t>2017-2021</t>
  </si>
  <si>
    <t>Zakłada się, że w wyniku planowanego zadania nastąpi redukcja rzędu 1% w zakresie zużycia energii finalnej oraz emisji pyłów i gazów  w sektorze obiektów użyteczności publicznej</t>
  </si>
  <si>
    <t>Brak miernika matematycznego umożliwiającego określenie redukcji dla planowanego zadania w ujęciu globalnym na terenie całej Gminy</t>
  </si>
  <si>
    <t>Zakłada się, że w wyniku planowanego zadania nastąpi redukcja rzędu 30% w zakresie zużycia energii finalnej oraz emisji pyłów i gazów  w sektorze obiektów użyteczności publicznej</t>
  </si>
  <si>
    <t>Zakłada się, że w wyniku planowanego zadania nastąpi redukcja rzędu 5% w zakresie zużycia energii finalnej oraz emisji pyłów i gazów w sektorze transportu</t>
  </si>
  <si>
    <t>Zakłada się, że w wyniku planowanego zadania nastąpi redukcja rzędu 45% w zakresie zużycia energii finalnej oraz emisji pyłów i gazów  w sektorze oświetlenia</t>
  </si>
  <si>
    <t>Zakłada się, że w wyniku planowanego zadania nastąpiwzrost zużycia energii z OZE w wys. co najmniej 7,5% na podstawie ankiet ( 6 osób na 79 wskazywało chęć montażu kolektorów slonecznych do 2020r.)</t>
  </si>
  <si>
    <t>Zakłada się, że w wyniku planowanego zadania nastąpiwzrost zużycia energii z OZE w wys. co najmniej 3,79% na podstawie ankiet ( 3 osób na 79 wskazywało chęć montażu PV do 2020r.)</t>
  </si>
  <si>
    <t>Zakłada się, że w wyniku planowanego zadania nastąpiwzrost zużycia energii z OZE w wys. co najmniej 1,26% na podstawie ankiet ( 1 osoba na 79 wskazywało chęć montażu pompy ciepła do 2020r.)</t>
  </si>
  <si>
    <t>Zakłada się, że w wyniku planowanego zadania nastąpi redukcja rzędu 30,37% w zakresie zużycia energii finalnej oraz emisji pyłów i gazów w sektorze mieszkalnictwa ( 24 na 79 osób wskazywała chęć podjęcia zadania do końca roku 2020r.)</t>
  </si>
  <si>
    <t>Zakłada się, że w wyniku planowanego zadania nastąpiwzrost zużycia energii z OZE w wys. co najmniej 5% na podstawie ankiet.</t>
  </si>
  <si>
    <t>Zakłada się, że w wyniku planowanego zadania nastąpi redukcja rzędu 5% w zakresie zużycia energii finalnej oraz emisji pyłów i gazów w sektorze przedsiębiorstw- dane ankietowe.</t>
  </si>
  <si>
    <t xml:space="preserve">Uzasadnienie metodologii w obliczeniach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</si>
</sst>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0.000"/>
    <numFmt numFmtId="165" formatCode="0.0"/>
    <numFmt numFmtId="166" formatCode="0.0%"/>
    <numFmt numFmtId="167" formatCode="#,##0.00\ &quot;zł&quot;"/>
    <numFmt numFmtId="168" formatCode="0.00000"/>
    <numFmt numFmtId="169" formatCode="#,##0.0000"/>
    <numFmt numFmtId="170" formatCode="0.0000"/>
  </numFmts>
  <fonts count="5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8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</font>
    <font>
      <sz val="11"/>
      <color theme="1"/>
      <name val="Times New Roman"/>
      <family val="1"/>
      <charset val="238"/>
    </font>
    <font>
      <b/>
      <sz val="16"/>
      <color theme="0"/>
      <name val="Times New Roman"/>
      <family val="1"/>
      <charset val="238"/>
    </font>
    <font>
      <b/>
      <sz val="20"/>
      <color theme="0"/>
      <name val="Times New Roman"/>
      <family val="1"/>
      <charset val="238"/>
    </font>
    <font>
      <sz val="12"/>
      <color rgb="FF000000"/>
      <name val="Calibri"/>
      <family val="2"/>
      <charset val="238"/>
      <scheme val="minor"/>
    </font>
    <font>
      <sz val="11"/>
      <color theme="0"/>
      <name val="Times New Roman"/>
      <family val="1"/>
      <charset val="238"/>
    </font>
    <font>
      <b/>
      <sz val="16"/>
      <color theme="1" tint="0.249977111117893"/>
      <name val="Times New Roman"/>
      <family val="1"/>
      <charset val="238"/>
    </font>
    <font>
      <sz val="16"/>
      <color theme="1"/>
      <name val="Times New Roman"/>
      <family val="1"/>
      <charset val="238"/>
    </font>
    <font>
      <b/>
      <sz val="12"/>
      <color theme="1" tint="0.249977111117893"/>
      <name val="Times New Roman"/>
      <family val="1"/>
      <charset val="238"/>
    </font>
    <font>
      <b/>
      <sz val="11"/>
      <color theme="1" tint="0.249977111117893"/>
      <name val="Times New Roman"/>
      <family val="1"/>
      <charset val="238"/>
    </font>
    <font>
      <sz val="8"/>
      <color theme="1" tint="0.34998626667073579"/>
      <name val="Times New Roman"/>
      <family val="1"/>
      <charset val="238"/>
    </font>
    <font>
      <sz val="10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vertAlign val="subscript"/>
      <sz val="10"/>
      <color theme="1"/>
      <name val="Calibri"/>
      <family val="2"/>
      <charset val="238"/>
      <scheme val="minor"/>
    </font>
    <font>
      <sz val="8"/>
      <color indexed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indexed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1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charset val="238"/>
      <scheme val="minor"/>
    </font>
    <font>
      <sz val="11"/>
      <color theme="0" tint="-0.34998626667073579"/>
      <name val="Calibri"/>
      <family val="2"/>
      <charset val="238"/>
      <scheme val="minor"/>
    </font>
    <font>
      <b/>
      <sz val="10"/>
      <color theme="0" tint="-0.34998626667073579"/>
      <name val="Calibri"/>
      <family val="2"/>
      <charset val="238"/>
      <scheme val="minor"/>
    </font>
    <font>
      <b/>
      <sz val="11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2"/>
      <color rgb="FFFF0000"/>
      <name val="Times New Roman"/>
      <family val="1"/>
      <charset val="238"/>
    </font>
    <font>
      <sz val="12"/>
      <color rgb="FFFF0000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2"/>
      <color theme="1"/>
      <name val="Times New Roman"/>
      <family val="1"/>
      <charset val="238"/>
    </font>
  </fonts>
  <fills count="1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C0D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9" fontId="7" fillId="0" borderId="0" applyFont="0" applyFill="0" applyBorder="0" applyAlignment="0" applyProtection="0"/>
    <xf numFmtId="0" fontId="1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10" fillId="0" borderId="0"/>
    <xf numFmtId="0" fontId="10" fillId="0" borderId="0"/>
    <xf numFmtId="0" fontId="25" fillId="0" borderId="0"/>
    <xf numFmtId="0" fontId="6" fillId="0" borderId="0"/>
    <xf numFmtId="0" fontId="4" fillId="0" borderId="0"/>
    <xf numFmtId="9" fontId="7" fillId="0" borderId="0" applyFont="0" applyFill="0" applyBorder="0" applyAlignment="0" applyProtection="0"/>
  </cellStyleXfs>
  <cellXfs count="501">
    <xf numFmtId="0" fontId="0" fillId="0" borderId="0" xfId="0"/>
    <xf numFmtId="166" fontId="0" fillId="0" borderId="0" xfId="1" applyNumberFormat="1" applyFont="1"/>
    <xf numFmtId="0" fontId="10" fillId="0" borderId="0" xfId="2"/>
    <xf numFmtId="0" fontId="11" fillId="7" borderId="1" xfId="2" applyFont="1" applyFill="1" applyBorder="1" applyAlignment="1">
      <alignment horizontal="center" vertical="center" wrapText="1"/>
    </xf>
    <xf numFmtId="1" fontId="11" fillId="7" borderId="1" xfId="2" applyNumberFormat="1" applyFont="1" applyFill="1" applyBorder="1" applyAlignment="1">
      <alignment horizontal="center" vertical="center" wrapText="1"/>
    </xf>
    <xf numFmtId="2" fontId="11" fillId="0" borderId="1" xfId="2" applyNumberFormat="1" applyFont="1" applyBorder="1" applyAlignment="1">
      <alignment horizontal="center" vertical="center"/>
    </xf>
    <xf numFmtId="0" fontId="13" fillId="0" borderId="0" xfId="2" applyFont="1"/>
    <xf numFmtId="0" fontId="11" fillId="0" borderId="0" xfId="2" applyFont="1" applyBorder="1" applyAlignment="1">
      <alignment horizontal="center" vertical="center"/>
    </xf>
    <xf numFmtId="0" fontId="11" fillId="7" borderId="0" xfId="2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0" xfId="5" applyFont="1"/>
    <xf numFmtId="0" fontId="15" fillId="9" borderId="0" xfId="5" applyFont="1" applyFill="1"/>
    <xf numFmtId="0" fontId="17" fillId="9" borderId="0" xfId="5" applyFont="1" applyFill="1" applyAlignment="1"/>
    <xf numFmtId="0" fontId="18" fillId="0" borderId="0" xfId="5" applyFont="1"/>
    <xf numFmtId="0" fontId="15" fillId="8" borderId="0" xfId="5" applyFont="1" applyFill="1"/>
    <xf numFmtId="0" fontId="15" fillId="8" borderId="0" xfId="5" applyFont="1" applyFill="1" applyAlignment="1">
      <alignment horizontal="right"/>
    </xf>
    <xf numFmtId="0" fontId="19" fillId="9" borderId="0" xfId="5" applyFont="1" applyFill="1" applyAlignment="1"/>
    <xf numFmtId="0" fontId="15" fillId="0" borderId="0" xfId="5" applyFont="1" applyAlignment="1">
      <alignment horizontal="right"/>
    </xf>
    <xf numFmtId="0" fontId="6" fillId="0" borderId="0" xfId="6"/>
    <xf numFmtId="0" fontId="26" fillId="3" borderId="1" xfId="0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/>
    <xf numFmtId="0" fontId="26" fillId="3" borderId="3" xfId="0" applyFont="1" applyFill="1" applyBorder="1"/>
    <xf numFmtId="4" fontId="27" fillId="0" borderId="1" xfId="0" applyNumberFormat="1" applyFont="1" applyBorder="1" applyAlignment="1">
      <alignment horizontal="center" vertical="center"/>
    </xf>
    <xf numFmtId="0" fontId="26" fillId="3" borderId="1" xfId="0" applyFont="1" applyFill="1" applyBorder="1"/>
    <xf numFmtId="4" fontId="26" fillId="2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/>
    </xf>
    <xf numFmtId="0" fontId="9" fillId="0" borderId="0" xfId="0" applyFont="1"/>
    <xf numFmtId="0" fontId="26" fillId="5" borderId="1" xfId="0" applyFont="1" applyFill="1" applyBorder="1" applyAlignment="1">
      <alignment horizontal="center" vertical="center" wrapText="1"/>
    </xf>
    <xf numFmtId="4" fontId="27" fillId="0" borderId="1" xfId="0" applyNumberFormat="1" applyFont="1" applyBorder="1" applyAlignment="1">
      <alignment horizontal="center"/>
    </xf>
    <xf numFmtId="166" fontId="27" fillId="0" borderId="1" xfId="1" applyNumberFormat="1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4" fontId="27" fillId="0" borderId="0" xfId="0" applyNumberFormat="1" applyFont="1" applyAlignment="1">
      <alignment horizontal="center" vertical="center"/>
    </xf>
    <xf numFmtId="9" fontId="27" fillId="0" borderId="1" xfId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5" fontId="27" fillId="0" borderId="1" xfId="0" applyNumberFormat="1" applyFont="1" applyBorder="1" applyAlignment="1">
      <alignment horizontal="center" vertical="center"/>
    </xf>
    <xf numFmtId="0" fontId="27" fillId="0" borderId="0" xfId="0" applyFont="1" applyBorder="1"/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0" fontId="11" fillId="2" borderId="1" xfId="2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left"/>
    </xf>
    <xf numFmtId="0" fontId="26" fillId="3" borderId="1" xfId="0" applyFont="1" applyFill="1" applyBorder="1" applyAlignment="1">
      <alignment horizontal="left"/>
    </xf>
    <xf numFmtId="164" fontId="27" fillId="0" borderId="1" xfId="0" applyNumberFormat="1" applyFont="1" applyBorder="1" applyAlignment="1">
      <alignment horizontal="center"/>
    </xf>
    <xf numFmtId="0" fontId="26" fillId="2" borderId="1" xfId="5" applyFont="1" applyFill="1" applyBorder="1"/>
    <xf numFmtId="0" fontId="26" fillId="2" borderId="1" xfId="5" applyFont="1" applyFill="1" applyBorder="1" applyAlignment="1">
      <alignment horizontal="center" vertical="center"/>
    </xf>
    <xf numFmtId="0" fontId="27" fillId="0" borderId="1" xfId="5" applyFont="1" applyBorder="1" applyAlignment="1">
      <alignment horizontal="center"/>
    </xf>
    <xf numFmtId="0" fontId="26" fillId="6" borderId="1" xfId="0" applyFont="1" applyFill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/>
    </xf>
    <xf numFmtId="167" fontId="26" fillId="10" borderId="1" xfId="0" applyNumberFormat="1" applyFont="1" applyFill="1" applyBorder="1" applyAlignment="1">
      <alignment horizontal="center"/>
    </xf>
    <xf numFmtId="4" fontId="26" fillId="0" borderId="1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Border="1"/>
    <xf numFmtId="164" fontId="0" fillId="0" borderId="0" xfId="0" applyNumberFormat="1" applyBorder="1"/>
    <xf numFmtId="0" fontId="27" fillId="9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12" fillId="2" borderId="1" xfId="2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2" fontId="27" fillId="0" borderId="1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49" fontId="29" fillId="0" borderId="1" xfId="2" applyNumberFormat="1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Border="1" applyAlignment="1">
      <alignment horizontal="center" vertical="center" wrapText="1"/>
    </xf>
    <xf numFmtId="165" fontId="30" fillId="0" borderId="1" xfId="0" applyNumberFormat="1" applyFont="1" applyBorder="1" applyAlignment="1">
      <alignment horizontal="center" vertical="center"/>
    </xf>
    <xf numFmtId="0" fontId="29" fillId="0" borderId="1" xfId="2" applyNumberFormat="1" applyFont="1" applyBorder="1" applyAlignment="1">
      <alignment horizontal="center" vertical="center" wrapText="1"/>
    </xf>
    <xf numFmtId="1" fontId="32" fillId="0" borderId="0" xfId="2" applyNumberFormat="1" applyFont="1" applyBorder="1" applyAlignment="1">
      <alignment horizontal="center" vertical="center"/>
    </xf>
    <xf numFmtId="1" fontId="29" fillId="0" borderId="1" xfId="2" applyNumberFormat="1" applyFont="1" applyBorder="1" applyAlignment="1">
      <alignment horizontal="center" vertical="center"/>
    </xf>
    <xf numFmtId="1" fontId="32" fillId="0" borderId="1" xfId="2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164" fontId="27" fillId="0" borderId="1" xfId="5" applyNumberFormat="1" applyFont="1" applyBorder="1" applyAlignment="1">
      <alignment horizontal="center"/>
    </xf>
    <xf numFmtId="167" fontId="27" fillId="0" borderId="1" xfId="0" applyNumberFormat="1" applyFont="1" applyBorder="1" applyAlignment="1">
      <alignment horizontal="center" vertical="center" wrapText="1"/>
    </xf>
    <xf numFmtId="0" fontId="29" fillId="0" borderId="0" xfId="2" applyFont="1" applyBorder="1" applyAlignment="1">
      <alignment horizontal="center" vertical="center"/>
    </xf>
    <xf numFmtId="0" fontId="4" fillId="0" borderId="0" xfId="12"/>
    <xf numFmtId="0" fontId="33" fillId="0" borderId="0" xfId="12" applyFont="1"/>
    <xf numFmtId="0" fontId="27" fillId="0" borderId="0" xfId="12" applyFont="1" applyAlignment="1">
      <alignment horizontal="center"/>
    </xf>
    <xf numFmtId="1" fontId="27" fillId="0" borderId="1" xfId="12" applyNumberFormat="1" applyFont="1" applyBorder="1" applyAlignment="1">
      <alignment horizontal="center" vertical="center"/>
    </xf>
    <xf numFmtId="0" fontId="7" fillId="0" borderId="0" xfId="5"/>
    <xf numFmtId="0" fontId="7" fillId="0" borderId="1" xfId="5" applyBorder="1"/>
    <xf numFmtId="1" fontId="7" fillId="0" borderId="1" xfId="5" applyNumberFormat="1" applyBorder="1" applyAlignment="1">
      <alignment horizontal="center" vertical="center"/>
    </xf>
    <xf numFmtId="0" fontId="8" fillId="0" borderId="1" xfId="5" applyFont="1" applyBorder="1"/>
    <xf numFmtId="0" fontId="8" fillId="2" borderId="1" xfId="5" applyFont="1" applyFill="1" applyBorder="1" applyAlignment="1">
      <alignment horizontal="center" vertical="center"/>
    </xf>
    <xf numFmtId="0" fontId="4" fillId="0" borderId="2" xfId="12" applyBorder="1" applyAlignment="1">
      <alignment horizontal="center"/>
    </xf>
    <xf numFmtId="0" fontId="4" fillId="0" borderId="4" xfId="12" applyBorder="1" applyAlignment="1">
      <alignment horizontal="center"/>
    </xf>
    <xf numFmtId="0" fontId="4" fillId="0" borderId="3" xfId="12" applyBorder="1" applyAlignment="1">
      <alignment horizontal="center"/>
    </xf>
    <xf numFmtId="1" fontId="8" fillId="0" borderId="1" xfId="5" applyNumberFormat="1" applyFont="1" applyBorder="1" applyAlignment="1">
      <alignment horizontal="center" vertical="center"/>
    </xf>
    <xf numFmtId="1" fontId="8" fillId="0" borderId="1" xfId="5" applyNumberFormat="1" applyFont="1" applyBorder="1" applyAlignment="1">
      <alignment horizontal="center"/>
    </xf>
    <xf numFmtId="1" fontId="7" fillId="0" borderId="1" xfId="5" applyNumberFormat="1" applyBorder="1" applyAlignment="1">
      <alignment horizontal="center"/>
    </xf>
    <xf numFmtId="0" fontId="4" fillId="0" borderId="0" xfId="12" applyAlignment="1">
      <alignment horizontal="center"/>
    </xf>
    <xf numFmtId="0" fontId="26" fillId="0" borderId="1" xfId="12" applyFont="1" applyBorder="1" applyAlignment="1">
      <alignment horizontal="center" vertical="center" wrapText="1"/>
    </xf>
    <xf numFmtId="4" fontId="7" fillId="0" borderId="1" xfId="5" applyNumberFormat="1" applyBorder="1" applyAlignment="1">
      <alignment horizontal="center" vertical="center"/>
    </xf>
    <xf numFmtId="4" fontId="8" fillId="0" borderId="1" xfId="5" applyNumberFormat="1" applyFont="1" applyBorder="1" applyAlignment="1">
      <alignment horizontal="center" vertical="center"/>
    </xf>
    <xf numFmtId="4" fontId="8" fillId="9" borderId="3" xfId="5" applyNumberFormat="1" applyFont="1" applyFill="1" applyBorder="1" applyAlignment="1">
      <alignment horizontal="center"/>
    </xf>
    <xf numFmtId="1" fontId="0" fillId="0" borderId="1" xfId="5" applyNumberFormat="1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 wrapText="1"/>
    </xf>
    <xf numFmtId="1" fontId="11" fillId="7" borderId="0" xfId="2" applyNumberFormat="1" applyFont="1" applyFill="1" applyBorder="1" applyAlignment="1">
      <alignment horizontal="center" vertical="center" wrapText="1"/>
    </xf>
    <xf numFmtId="0" fontId="11" fillId="7" borderId="0" xfId="2" applyFont="1" applyFill="1" applyBorder="1" applyAlignment="1">
      <alignment horizontal="center" vertical="center" wrapText="1"/>
    </xf>
    <xf numFmtId="2" fontId="11" fillId="0" borderId="0" xfId="2" applyNumberFormat="1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26" fillId="2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1" fontId="34" fillId="2" borderId="1" xfId="12" applyNumberFormat="1" applyFont="1" applyFill="1" applyBorder="1" applyAlignment="1">
      <alignment horizontal="center" vertical="center"/>
    </xf>
    <xf numFmtId="0" fontId="35" fillId="0" borderId="1" xfId="12" applyFont="1" applyBorder="1" applyAlignment="1">
      <alignment horizontal="center" vertical="center"/>
    </xf>
    <xf numFmtId="1" fontId="35" fillId="0" borderId="1" xfId="12" applyNumberFormat="1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0" fontId="35" fillId="0" borderId="0" xfId="12" applyFont="1" applyAlignment="1">
      <alignment horizontal="center" vertical="center"/>
    </xf>
    <xf numFmtId="4" fontId="4" fillId="9" borderId="1" xfId="5" applyNumberFormat="1" applyFont="1" applyFill="1" applyBorder="1" applyAlignment="1">
      <alignment horizontal="center" vertical="center"/>
    </xf>
    <xf numFmtId="4" fontId="7" fillId="0" borderId="1" xfId="5" applyNumberFormat="1" applyBorder="1" applyAlignment="1">
      <alignment horizontal="center"/>
    </xf>
    <xf numFmtId="4" fontId="8" fillId="9" borderId="1" xfId="5" applyNumberFormat="1" applyFont="1" applyFill="1" applyBorder="1" applyAlignment="1">
      <alignment horizontal="center" vertical="center"/>
    </xf>
    <xf numFmtId="0" fontId="31" fillId="2" borderId="1" xfId="2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0" fontId="34" fillId="2" borderId="1" xfId="12" applyFont="1" applyFill="1" applyBorder="1" applyAlignment="1">
      <alignment horizontal="center" vertical="center"/>
    </xf>
    <xf numFmtId="0" fontId="26" fillId="6" borderId="2" xfId="0" applyFont="1" applyFill="1" applyBorder="1" applyAlignment="1">
      <alignment horizontal="center" vertical="center" wrapText="1"/>
    </xf>
    <xf numFmtId="167" fontId="27" fillId="0" borderId="3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vertical="center"/>
    </xf>
    <xf numFmtId="0" fontId="27" fillId="0" borderId="0" xfId="0" applyFont="1" applyAlignment="1">
      <alignment horizontal="center" wrapText="1"/>
    </xf>
    <xf numFmtId="0" fontId="27" fillId="0" borderId="0" xfId="0" applyFont="1" applyBorder="1" applyAlignment="1">
      <alignment horizontal="center"/>
    </xf>
    <xf numFmtId="4" fontId="4" fillId="9" borderId="1" xfId="5" applyNumberFormat="1" applyFont="1" applyFill="1" applyBorder="1" applyAlignment="1">
      <alignment horizontal="center"/>
    </xf>
    <xf numFmtId="0" fontId="34" fillId="2" borderId="1" xfId="12" applyFont="1" applyFill="1" applyBorder="1" applyAlignment="1">
      <alignment horizontal="center" vertical="center"/>
    </xf>
    <xf numFmtId="0" fontId="26" fillId="2" borderId="1" xfId="12" applyFont="1" applyFill="1" applyBorder="1" applyAlignment="1">
      <alignment horizontal="center" vertical="center"/>
    </xf>
    <xf numFmtId="4" fontId="26" fillId="2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2" fontId="27" fillId="0" borderId="1" xfId="0" applyNumberFormat="1" applyFont="1" applyBorder="1" applyAlignment="1">
      <alignment horizontal="center" vertical="center" wrapText="1"/>
    </xf>
    <xf numFmtId="4" fontId="8" fillId="0" borderId="1" xfId="5" applyNumberFormat="1" applyFont="1" applyBorder="1" applyAlignment="1">
      <alignment horizontal="center"/>
    </xf>
    <xf numFmtId="4" fontId="3" fillId="9" borderId="3" xfId="5" applyNumberFormat="1" applyFont="1" applyFill="1" applyBorder="1" applyAlignment="1">
      <alignment horizontal="center" vertical="center"/>
    </xf>
    <xf numFmtId="10" fontId="3" fillId="9" borderId="3" xfId="13" applyNumberFormat="1" applyFont="1" applyFill="1" applyBorder="1" applyAlignment="1">
      <alignment horizontal="center" vertical="center"/>
    </xf>
    <xf numFmtId="10" fontId="3" fillId="9" borderId="11" xfId="13" applyNumberFormat="1" applyFont="1" applyFill="1" applyBorder="1" applyAlignment="1">
      <alignment horizontal="center" vertical="center"/>
    </xf>
    <xf numFmtId="4" fontId="3" fillId="9" borderId="11" xfId="5" applyNumberFormat="1" applyFont="1" applyFill="1" applyBorder="1" applyAlignment="1">
      <alignment horizontal="center" vertical="center"/>
    </xf>
    <xf numFmtId="4" fontId="3" fillId="0" borderId="6" xfId="5" applyNumberFormat="1" applyFont="1" applyBorder="1" applyAlignment="1">
      <alignment horizontal="center"/>
    </xf>
    <xf numFmtId="0" fontId="36" fillId="0" borderId="0" xfId="0" applyFont="1" applyBorder="1"/>
    <xf numFmtId="4" fontId="36" fillId="0" borderId="0" xfId="0" applyNumberFormat="1" applyFont="1" applyBorder="1"/>
    <xf numFmtId="164" fontId="36" fillId="0" borderId="0" xfId="0" applyNumberFormat="1" applyFont="1" applyBorder="1"/>
    <xf numFmtId="0" fontId="38" fillId="0" borderId="0" xfId="12" applyFont="1" applyBorder="1"/>
    <xf numFmtId="0" fontId="38" fillId="0" borderId="0" xfId="12" applyFont="1" applyBorder="1" applyAlignment="1">
      <alignment vertical="center" wrapText="1"/>
    </xf>
    <xf numFmtId="0" fontId="34" fillId="2" borderId="6" xfId="12" applyFont="1" applyFill="1" applyBorder="1" applyAlignment="1">
      <alignment horizontal="center" vertical="center"/>
    </xf>
    <xf numFmtId="0" fontId="35" fillId="0" borderId="6" xfId="0" applyFont="1" applyBorder="1" applyAlignment="1">
      <alignment horizontal="center" vertical="center" wrapText="1"/>
    </xf>
    <xf numFmtId="1" fontId="35" fillId="0" borderId="6" xfId="12" applyNumberFormat="1" applyFont="1" applyBorder="1" applyAlignment="1">
      <alignment horizontal="center" vertical="center"/>
    </xf>
    <xf numFmtId="0" fontId="35" fillId="0" borderId="6" xfId="12" applyFont="1" applyBorder="1" applyAlignment="1">
      <alignment horizontal="center" vertical="center"/>
    </xf>
    <xf numFmtId="0" fontId="39" fillId="2" borderId="0" xfId="12" applyFont="1" applyFill="1" applyBorder="1" applyAlignment="1">
      <alignment horizontal="center" vertical="center"/>
    </xf>
    <xf numFmtId="2" fontId="37" fillId="0" borderId="0" xfId="12" applyNumberFormat="1" applyFont="1" applyFill="1" applyBorder="1" applyAlignment="1">
      <alignment horizontal="center"/>
    </xf>
    <xf numFmtId="0" fontId="37" fillId="0" borderId="0" xfId="12" applyFont="1" applyBorder="1"/>
    <xf numFmtId="0" fontId="37" fillId="0" borderId="0" xfId="12" applyFont="1" applyFill="1" applyBorder="1"/>
    <xf numFmtId="0" fontId="37" fillId="0" borderId="0" xfId="12" applyFont="1" applyBorder="1" applyAlignment="1">
      <alignment horizontal="center"/>
    </xf>
    <xf numFmtId="168" fontId="37" fillId="0" borderId="0" xfId="12" applyNumberFormat="1" applyFont="1" applyFill="1" applyBorder="1" applyAlignment="1">
      <alignment horizontal="center" vertical="center"/>
    </xf>
    <xf numFmtId="168" fontId="38" fillId="0" borderId="0" xfId="12" applyNumberFormat="1" applyFont="1" applyBorder="1"/>
    <xf numFmtId="0" fontId="36" fillId="0" borderId="0" xfId="5" applyFont="1" applyBorder="1"/>
    <xf numFmtId="166" fontId="36" fillId="0" borderId="0" xfId="13" applyNumberFormat="1" applyFont="1" applyBorder="1"/>
    <xf numFmtId="10" fontId="36" fillId="0" borderId="0" xfId="5" applyNumberFormat="1" applyFont="1" applyBorder="1"/>
    <xf numFmtId="0" fontId="40" fillId="3" borderId="0" xfId="5" applyFont="1" applyFill="1" applyBorder="1" applyAlignment="1">
      <alignment horizontal="center" vertical="center" wrapText="1"/>
    </xf>
    <xf numFmtId="4" fontId="0" fillId="0" borderId="6" xfId="13" applyNumberFormat="1" applyFont="1" applyBorder="1" applyAlignment="1">
      <alignment horizontal="center"/>
    </xf>
    <xf numFmtId="4" fontId="8" fillId="0" borderId="6" xfId="13" applyNumberFormat="1" applyFont="1" applyBorder="1" applyAlignment="1">
      <alignment horizontal="center"/>
    </xf>
    <xf numFmtId="2" fontId="0" fillId="0" borderId="6" xfId="13" applyNumberFormat="1" applyFont="1" applyBorder="1" applyAlignment="1">
      <alignment horizontal="center"/>
    </xf>
    <xf numFmtId="2" fontId="8" fillId="0" borderId="6" xfId="13" applyNumberFormat="1" applyFont="1" applyBorder="1" applyAlignment="1">
      <alignment horizontal="center"/>
    </xf>
    <xf numFmtId="2" fontId="36" fillId="0" borderId="0" xfId="5" applyNumberFormat="1" applyFont="1" applyBorder="1"/>
    <xf numFmtId="2" fontId="36" fillId="0" borderId="0" xfId="13" applyNumberFormat="1" applyFont="1" applyBorder="1"/>
    <xf numFmtId="164" fontId="36" fillId="0" borderId="0" xfId="13" applyNumberFormat="1" applyFont="1" applyBorder="1"/>
    <xf numFmtId="2" fontId="26" fillId="10" borderId="1" xfId="0" applyNumberFormat="1" applyFont="1" applyFill="1" applyBorder="1" applyAlignment="1">
      <alignment horizontal="center"/>
    </xf>
    <xf numFmtId="0" fontId="41" fillId="0" borderId="0" xfId="5" applyFont="1"/>
    <xf numFmtId="2" fontId="7" fillId="0" borderId="1" xfId="5" applyNumberFormat="1" applyBorder="1" applyAlignment="1">
      <alignment horizontal="center"/>
    </xf>
    <xf numFmtId="2" fontId="8" fillId="0" borderId="1" xfId="5" applyNumberFormat="1" applyFont="1" applyBorder="1" applyAlignment="1">
      <alignment horizontal="center"/>
    </xf>
    <xf numFmtId="2" fontId="7" fillId="0" borderId="0" xfId="5" applyNumberFormat="1" applyBorder="1" applyAlignment="1">
      <alignment horizontal="center"/>
    </xf>
    <xf numFmtId="2" fontId="8" fillId="0" borderId="0" xfId="5" applyNumberFormat="1" applyFont="1" applyBorder="1" applyAlignment="1">
      <alignment horizontal="center"/>
    </xf>
    <xf numFmtId="0" fontId="36" fillId="0" borderId="0" xfId="5" applyFont="1"/>
    <xf numFmtId="0" fontId="8" fillId="3" borderId="0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/>
    </xf>
    <xf numFmtId="0" fontId="26" fillId="3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9" fillId="0" borderId="0" xfId="2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 wrapText="1"/>
    </xf>
    <xf numFmtId="0" fontId="31" fillId="2" borderId="7" xfId="2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4" fontId="0" fillId="0" borderId="0" xfId="0" applyNumberFormat="1"/>
    <xf numFmtId="0" fontId="41" fillId="0" borderId="0" xfId="0" applyFont="1"/>
    <xf numFmtId="0" fontId="41" fillId="0" borderId="0" xfId="0" applyFont="1" applyBorder="1"/>
    <xf numFmtId="0" fontId="42" fillId="0" borderId="0" xfId="12" applyFont="1"/>
    <xf numFmtId="0" fontId="42" fillId="0" borderId="0" xfId="5" applyFont="1"/>
    <xf numFmtId="10" fontId="42" fillId="0" borderId="0" xfId="1" applyNumberFormat="1" applyFont="1"/>
    <xf numFmtId="0" fontId="26" fillId="9" borderId="0" xfId="0" applyFont="1" applyFill="1" applyBorder="1" applyAlignment="1">
      <alignment vertical="center"/>
    </xf>
    <xf numFmtId="0" fontId="26" fillId="9" borderId="0" xfId="0" applyFont="1" applyFill="1" applyBorder="1" applyAlignment="1">
      <alignment horizontal="center" vertical="center" wrapText="1"/>
    </xf>
    <xf numFmtId="0" fontId="27" fillId="9" borderId="0" xfId="0" applyFont="1" applyFill="1" applyBorder="1" applyAlignment="1">
      <alignment vertical="center"/>
    </xf>
    <xf numFmtId="0" fontId="27" fillId="9" borderId="0" xfId="0" applyFont="1" applyFill="1" applyBorder="1" applyAlignment="1">
      <alignment horizontal="center" vertical="center"/>
    </xf>
    <xf numFmtId="4" fontId="27" fillId="9" borderId="0" xfId="0" applyNumberFormat="1" applyFont="1" applyFill="1" applyBorder="1" applyAlignment="1">
      <alignment horizontal="center" vertical="center"/>
    </xf>
    <xf numFmtId="4" fontId="26" fillId="9" borderId="0" xfId="0" applyNumberFormat="1" applyFont="1" applyFill="1" applyBorder="1" applyAlignment="1">
      <alignment vertical="center"/>
    </xf>
    <xf numFmtId="166" fontId="27" fillId="9" borderId="0" xfId="1" applyNumberFormat="1" applyFont="1" applyFill="1" applyBorder="1" applyAlignment="1">
      <alignment horizontal="center" vertical="center"/>
    </xf>
    <xf numFmtId="0" fontId="27" fillId="9" borderId="0" xfId="0" applyFont="1" applyFill="1" applyBorder="1" applyAlignment="1">
      <alignment vertical="center" textRotation="90"/>
    </xf>
    <xf numFmtId="0" fontId="27" fillId="9" borderId="0" xfId="0" applyFont="1" applyFill="1" applyBorder="1"/>
    <xf numFmtId="164" fontId="43" fillId="0" borderId="1" xfId="0" applyNumberFormat="1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0" fillId="0" borderId="0" xfId="0" applyFont="1" applyBorder="1"/>
    <xf numFmtId="0" fontId="0" fillId="0" borderId="1" xfId="0" applyBorder="1" applyAlignment="1">
      <alignment horizontal="center" vertical="center"/>
    </xf>
    <xf numFmtId="0" fontId="29" fillId="0" borderId="1" xfId="2" applyFont="1" applyBorder="1" applyAlignment="1">
      <alignment vertical="center" wrapText="1"/>
    </xf>
    <xf numFmtId="0" fontId="30" fillId="0" borderId="1" xfId="0" applyFont="1" applyBorder="1" applyAlignment="1">
      <alignment vertical="center"/>
    </xf>
    <xf numFmtId="0" fontId="0" fillId="0" borderId="0" xfId="0" applyFont="1"/>
    <xf numFmtId="0" fontId="26" fillId="0" borderId="0" xfId="0" applyFont="1"/>
    <xf numFmtId="4" fontId="27" fillId="0" borderId="0" xfId="0" applyNumberFormat="1" applyFont="1"/>
    <xf numFmtId="0" fontId="27" fillId="0" borderId="1" xfId="0" applyFont="1" applyBorder="1" applyAlignment="1">
      <alignment vertical="center" textRotation="90" wrapText="1"/>
    </xf>
    <xf numFmtId="0" fontId="8" fillId="0" borderId="1" xfId="5" applyFont="1" applyBorder="1" applyAlignment="1">
      <alignment horizontal="center"/>
    </xf>
    <xf numFmtId="0" fontId="8" fillId="0" borderId="6" xfId="5" applyFont="1" applyBorder="1" applyAlignment="1">
      <alignment horizontal="center"/>
    </xf>
    <xf numFmtId="10" fontId="7" fillId="0" borderId="1" xfId="1" applyNumberFormat="1" applyBorder="1" applyAlignment="1">
      <alignment horizontal="center"/>
    </xf>
    <xf numFmtId="10" fontId="8" fillId="0" borderId="1" xfId="1" applyNumberFormat="1" applyFont="1" applyBorder="1" applyAlignment="1">
      <alignment horizontal="center"/>
    </xf>
    <xf numFmtId="0" fontId="8" fillId="11" borderId="1" xfId="5" applyFont="1" applyFill="1" applyBorder="1"/>
    <xf numFmtId="0" fontId="8" fillId="11" borderId="1" xfId="5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center" vertical="center"/>
    </xf>
    <xf numFmtId="0" fontId="8" fillId="11" borderId="1" xfId="5" applyFont="1" applyFill="1" applyBorder="1" applyAlignment="1">
      <alignment horizontal="center" vertical="center" wrapText="1"/>
    </xf>
    <xf numFmtId="0" fontId="8" fillId="11" borderId="6" xfId="5" applyFont="1" applyFill="1" applyBorder="1" applyAlignment="1">
      <alignment horizontal="center" vertical="center" wrapText="1"/>
    </xf>
    <xf numFmtId="10" fontId="3" fillId="9" borderId="3" xfId="1" applyNumberFormat="1" applyFont="1" applyFill="1" applyBorder="1" applyAlignment="1">
      <alignment horizontal="center" vertical="center"/>
    </xf>
    <xf numFmtId="4" fontId="8" fillId="11" borderId="3" xfId="5" applyNumberFormat="1" applyFont="1" applyFill="1" applyBorder="1" applyAlignment="1">
      <alignment horizontal="center" vertical="center"/>
    </xf>
    <xf numFmtId="10" fontId="8" fillId="11" borderId="3" xfId="13" applyNumberFormat="1" applyFont="1" applyFill="1" applyBorder="1" applyAlignment="1">
      <alignment horizontal="center" vertical="center"/>
    </xf>
    <xf numFmtId="4" fontId="8" fillId="11" borderId="1" xfId="5" applyNumberFormat="1" applyFont="1" applyFill="1" applyBorder="1" applyAlignment="1">
      <alignment horizontal="center" vertical="center"/>
    </xf>
    <xf numFmtId="10" fontId="8" fillId="11" borderId="11" xfId="13" applyNumberFormat="1" applyFont="1" applyFill="1" applyBorder="1" applyAlignment="1">
      <alignment horizontal="center" vertical="center"/>
    </xf>
    <xf numFmtId="10" fontId="8" fillId="11" borderId="11" xfId="1" applyNumberFormat="1" applyFont="1" applyFill="1" applyBorder="1" applyAlignment="1">
      <alignment horizontal="center" vertical="center"/>
    </xf>
    <xf numFmtId="0" fontId="8" fillId="11" borderId="3" xfId="5" applyFont="1" applyFill="1" applyBorder="1"/>
    <xf numFmtId="0" fontId="8" fillId="11" borderId="11" xfId="5" applyFont="1" applyFill="1" applyBorder="1"/>
    <xf numFmtId="4" fontId="8" fillId="11" borderId="1" xfId="5" applyNumberFormat="1" applyFont="1" applyFill="1" applyBorder="1" applyAlignment="1">
      <alignment horizontal="center" vertical="center" wrapText="1"/>
    </xf>
    <xf numFmtId="10" fontId="8" fillId="11" borderId="7" xfId="13" applyNumberFormat="1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vertical="center"/>
    </xf>
    <xf numFmtId="10" fontId="8" fillId="11" borderId="3" xfId="1" applyNumberFormat="1" applyFont="1" applyFill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 wrapText="1"/>
    </xf>
    <xf numFmtId="0" fontId="8" fillId="0" borderId="0" xfId="0" applyFont="1"/>
    <xf numFmtId="0" fontId="0" fillId="3" borderId="1" xfId="0" applyFill="1" applyBorder="1" applyAlignment="1">
      <alignment wrapText="1"/>
    </xf>
    <xf numFmtId="0" fontId="0" fillId="3" borderId="1" xfId="0" applyFill="1" applyBorder="1"/>
    <xf numFmtId="0" fontId="0" fillId="0" borderId="1" xfId="0" applyBorder="1"/>
    <xf numFmtId="0" fontId="0" fillId="0" borderId="1" xfId="0" applyFill="1" applyBorder="1"/>
    <xf numFmtId="0" fontId="8" fillId="3" borderId="1" xfId="5" applyFont="1" applyFill="1" applyBorder="1"/>
    <xf numFmtId="0" fontId="8" fillId="3" borderId="1" xfId="5" applyFont="1" applyFill="1" applyBorder="1" applyAlignment="1">
      <alignment wrapText="1"/>
    </xf>
    <xf numFmtId="4" fontId="0" fillId="3" borderId="1" xfId="0" applyNumberFormat="1" applyFill="1" applyBorder="1"/>
    <xf numFmtId="4" fontId="0" fillId="0" borderId="1" xfId="0" applyNumberFormat="1" applyBorder="1"/>
    <xf numFmtId="4" fontId="8" fillId="3" borderId="1" xfId="0" applyNumberFormat="1" applyFont="1" applyFill="1" applyBorder="1"/>
    <xf numFmtId="4" fontId="44" fillId="0" borderId="5" xfId="0" applyNumberFormat="1" applyFont="1" applyBorder="1" applyAlignment="1"/>
    <xf numFmtId="0" fontId="44" fillId="0" borderId="5" xfId="0" applyFont="1" applyBorder="1" applyAlignment="1"/>
    <xf numFmtId="0" fontId="44" fillId="0" borderId="0" xfId="0" applyFont="1"/>
    <xf numFmtId="4" fontId="27" fillId="0" borderId="0" xfId="5" applyNumberFormat="1" applyFont="1" applyBorder="1" applyAlignment="1">
      <alignment horizontal="center"/>
    </xf>
    <xf numFmtId="0" fontId="27" fillId="3" borderId="1" xfId="5" applyFont="1" applyFill="1" applyBorder="1"/>
    <xf numFmtId="4" fontId="27" fillId="3" borderId="1" xfId="5" applyNumberFormat="1" applyFont="1" applyFill="1" applyBorder="1"/>
    <xf numFmtId="0" fontId="8" fillId="3" borderId="1" xfId="5" applyFont="1" applyFill="1" applyBorder="1" applyAlignment="1">
      <alignment horizontal="center" vertical="center"/>
    </xf>
    <xf numFmtId="0" fontId="8" fillId="3" borderId="1" xfId="5" applyFont="1" applyFill="1" applyBorder="1" applyAlignment="1">
      <alignment horizontal="center"/>
    </xf>
    <xf numFmtId="4" fontId="0" fillId="9" borderId="1" xfId="5" applyNumberFormat="1" applyFont="1" applyFill="1" applyBorder="1" applyAlignment="1">
      <alignment horizontal="center" vertical="center"/>
    </xf>
    <xf numFmtId="10" fontId="0" fillId="0" borderId="1" xfId="13" applyNumberFormat="1" applyFont="1" applyBorder="1" applyAlignment="1">
      <alignment horizontal="center"/>
    </xf>
    <xf numFmtId="2" fontId="0" fillId="0" borderId="1" xfId="13" applyNumberFormat="1" applyFont="1" applyBorder="1" applyAlignment="1">
      <alignment horizontal="center"/>
    </xf>
    <xf numFmtId="10" fontId="7" fillId="3" borderId="1" xfId="1" applyNumberFormat="1" applyFont="1" applyFill="1" applyBorder="1" applyAlignment="1">
      <alignment horizontal="center"/>
    </xf>
    <xf numFmtId="4" fontId="8" fillId="3" borderId="1" xfId="5" applyNumberFormat="1" applyFont="1" applyFill="1" applyBorder="1" applyAlignment="1">
      <alignment horizontal="center" vertical="center"/>
    </xf>
    <xf numFmtId="10" fontId="8" fillId="3" borderId="1" xfId="13" applyNumberFormat="1" applyFont="1" applyFill="1" applyBorder="1" applyAlignment="1">
      <alignment horizontal="center"/>
    </xf>
    <xf numFmtId="2" fontId="8" fillId="3" borderId="1" xfId="13" applyNumberFormat="1" applyFont="1" applyFill="1" applyBorder="1" applyAlignment="1">
      <alignment horizontal="center"/>
    </xf>
    <xf numFmtId="4" fontId="8" fillId="3" borderId="1" xfId="5" applyNumberFormat="1" applyFont="1" applyFill="1" applyBorder="1" applyAlignment="1">
      <alignment horizontal="center"/>
    </xf>
    <xf numFmtId="10" fontId="8" fillId="3" borderId="1" xfId="1" applyNumberFormat="1" applyFont="1" applyFill="1" applyBorder="1" applyAlignment="1">
      <alignment horizontal="center"/>
    </xf>
    <xf numFmtId="0" fontId="8" fillId="3" borderId="1" xfId="5" applyFont="1" applyFill="1" applyBorder="1" applyAlignment="1">
      <alignment horizontal="left" wrapText="1"/>
    </xf>
    <xf numFmtId="2" fontId="8" fillId="3" borderId="1" xfId="5" applyNumberFormat="1" applyFont="1" applyFill="1" applyBorder="1" applyAlignment="1">
      <alignment horizontal="center"/>
    </xf>
    <xf numFmtId="169" fontId="0" fillId="9" borderId="1" xfId="5" applyNumberFormat="1" applyFont="1" applyFill="1" applyBorder="1" applyAlignment="1">
      <alignment horizontal="center" vertical="center"/>
    </xf>
    <xf numFmtId="169" fontId="7" fillId="0" borderId="1" xfId="5" applyNumberFormat="1" applyBorder="1" applyAlignment="1">
      <alignment horizontal="center"/>
    </xf>
    <xf numFmtId="170" fontId="0" fillId="0" borderId="1" xfId="13" applyNumberFormat="1" applyFont="1" applyBorder="1" applyAlignment="1">
      <alignment horizontal="center"/>
    </xf>
    <xf numFmtId="170" fontId="7" fillId="0" borderId="1" xfId="5" applyNumberFormat="1" applyBorder="1" applyAlignment="1">
      <alignment horizontal="center"/>
    </xf>
    <xf numFmtId="169" fontId="7" fillId="0" borderId="1" xfId="5" applyNumberFormat="1" applyBorder="1" applyAlignment="1">
      <alignment horizontal="center" vertical="center"/>
    </xf>
    <xf numFmtId="169" fontId="8" fillId="3" borderId="1" xfId="5" applyNumberFormat="1" applyFont="1" applyFill="1" applyBorder="1" applyAlignment="1">
      <alignment horizontal="center" vertical="center"/>
    </xf>
    <xf numFmtId="170" fontId="8" fillId="3" borderId="1" xfId="13" applyNumberFormat="1" applyFont="1" applyFill="1" applyBorder="1" applyAlignment="1">
      <alignment horizontal="center"/>
    </xf>
    <xf numFmtId="170" fontId="8" fillId="3" borderId="1" xfId="5" applyNumberFormat="1" applyFont="1" applyFill="1" applyBorder="1" applyAlignment="1">
      <alignment horizontal="center"/>
    </xf>
    <xf numFmtId="169" fontId="8" fillId="3" borderId="1" xfId="5" applyNumberFormat="1" applyFont="1" applyFill="1" applyBorder="1" applyAlignment="1">
      <alignment horizontal="center"/>
    </xf>
    <xf numFmtId="0" fontId="26" fillId="4" borderId="1" xfId="5" applyFont="1" applyFill="1" applyBorder="1" applyAlignment="1">
      <alignment horizontal="center" vertical="center" wrapText="1"/>
    </xf>
    <xf numFmtId="2" fontId="27" fillId="0" borderId="1" xfId="5" applyNumberFormat="1" applyFont="1" applyBorder="1" applyAlignment="1">
      <alignment horizontal="center" vertical="center" wrapText="1"/>
    </xf>
    <xf numFmtId="0" fontId="27" fillId="0" borderId="0" xfId="5" applyFont="1" applyBorder="1"/>
    <xf numFmtId="0" fontId="27" fillId="0" borderId="0" xfId="5" applyFont="1"/>
    <xf numFmtId="44" fontId="27" fillId="0" borderId="0" xfId="5" applyNumberFormat="1" applyFont="1"/>
    <xf numFmtId="0" fontId="38" fillId="0" borderId="0" xfId="12" applyFont="1"/>
    <xf numFmtId="0" fontId="38" fillId="0" borderId="0" xfId="5" applyFont="1"/>
    <xf numFmtId="0" fontId="27" fillId="0" borderId="1" xfId="0" applyFont="1" applyBorder="1" applyAlignment="1">
      <alignment horizontal="center" vertical="center"/>
    </xf>
    <xf numFmtId="0" fontId="27" fillId="9" borderId="1" xfId="0" applyFont="1" applyFill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29" fillId="0" borderId="2" xfId="2" applyFont="1" applyBorder="1" applyAlignment="1">
      <alignment horizontal="center" vertical="center" wrapText="1"/>
    </xf>
    <xf numFmtId="0" fontId="29" fillId="0" borderId="1" xfId="2" applyFont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" fontId="41" fillId="0" borderId="0" xfId="0" applyNumberFormat="1" applyFont="1" applyBorder="1" applyAlignment="1">
      <alignment horizontal="center" vertical="center"/>
    </xf>
    <xf numFmtId="1" fontId="41" fillId="0" borderId="0" xfId="0" applyNumberFormat="1" applyFont="1" applyBorder="1"/>
    <xf numFmtId="166" fontId="41" fillId="0" borderId="0" xfId="1" applyNumberFormat="1" applyFont="1" applyBorder="1"/>
    <xf numFmtId="9" fontId="41" fillId="0" borderId="0" xfId="1" applyFont="1" applyBorder="1" applyAlignment="1">
      <alignment horizontal="center" vertical="center"/>
    </xf>
    <xf numFmtId="9" fontId="41" fillId="0" borderId="0" xfId="1" applyFont="1" applyBorder="1"/>
    <xf numFmtId="0" fontId="41" fillId="0" borderId="0" xfId="0" applyFont="1" applyBorder="1" applyAlignment="1">
      <alignment horizontal="center"/>
    </xf>
    <xf numFmtId="0" fontId="41" fillId="0" borderId="0" xfId="0" applyFont="1" applyFill="1" applyBorder="1"/>
    <xf numFmtId="10" fontId="41" fillId="0" borderId="0" xfId="1" applyNumberFormat="1" applyFont="1" applyBorder="1"/>
    <xf numFmtId="0" fontId="45" fillId="4" borderId="0" xfId="0" applyFont="1" applyFill="1" applyBorder="1" applyAlignment="1">
      <alignment horizontal="center" vertical="center"/>
    </xf>
    <xf numFmtId="0" fontId="45" fillId="4" borderId="0" xfId="0" applyFont="1" applyFill="1" applyBorder="1" applyAlignment="1">
      <alignment vertical="center" wrapText="1"/>
    </xf>
    <xf numFmtId="0" fontId="45" fillId="4" borderId="0" xfId="0" applyFont="1" applyFill="1" applyBorder="1" applyAlignment="1">
      <alignment vertical="center"/>
    </xf>
    <xf numFmtId="0" fontId="45" fillId="0" borderId="0" xfId="0" applyFont="1" applyBorder="1"/>
    <xf numFmtId="0" fontId="46" fillId="0" borderId="0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left"/>
    </xf>
    <xf numFmtId="1" fontId="41" fillId="0" borderId="0" xfId="0" applyNumberFormat="1" applyFont="1" applyFill="1" applyBorder="1" applyAlignment="1">
      <alignment horizontal="left"/>
    </xf>
    <xf numFmtId="166" fontId="41" fillId="0" borderId="0" xfId="0" applyNumberFormat="1" applyFont="1" applyBorder="1"/>
    <xf numFmtId="10" fontId="41" fillId="0" borderId="0" xfId="0" applyNumberFormat="1" applyFont="1" applyBorder="1"/>
    <xf numFmtId="0" fontId="41" fillId="0" borderId="0" xfId="0" applyFont="1" applyBorder="1" applyAlignment="1">
      <alignment horizontal="right" vertical="center"/>
    </xf>
    <xf numFmtId="9" fontId="41" fillId="0" borderId="0" xfId="0" applyNumberFormat="1" applyFont="1" applyBorder="1"/>
    <xf numFmtId="4" fontId="41" fillId="0" borderId="0" xfId="0" applyNumberFormat="1" applyFont="1" applyBorder="1"/>
    <xf numFmtId="1" fontId="48" fillId="0" borderId="0" xfId="0" applyNumberFormat="1" applyFont="1" applyFill="1" applyBorder="1" applyAlignment="1">
      <alignment horizontal="left"/>
    </xf>
    <xf numFmtId="0" fontId="29" fillId="9" borderId="1" xfId="2" applyFont="1" applyFill="1" applyBorder="1" applyAlignment="1">
      <alignment horizontal="center" vertical="center" wrapText="1"/>
    </xf>
    <xf numFmtId="0" fontId="30" fillId="0" borderId="1" xfId="2" applyFont="1" applyBorder="1"/>
    <xf numFmtId="0" fontId="10" fillId="0" borderId="1" xfId="2" applyBorder="1"/>
    <xf numFmtId="0" fontId="0" fillId="0" borderId="1" xfId="0" applyBorder="1" applyAlignment="1">
      <alignment horizontal="center" wrapText="1"/>
    </xf>
    <xf numFmtId="165" fontId="29" fillId="0" borderId="1" xfId="2" applyNumberFormat="1" applyFont="1" applyBorder="1" applyAlignment="1">
      <alignment horizontal="center" vertical="center"/>
    </xf>
    <xf numFmtId="0" fontId="1" fillId="0" borderId="0" xfId="12" applyFont="1"/>
    <xf numFmtId="0" fontId="1" fillId="0" borderId="0" xfId="5" applyFont="1"/>
    <xf numFmtId="9" fontId="1" fillId="0" borderId="0" xfId="1" applyFont="1"/>
    <xf numFmtId="1" fontId="1" fillId="0" borderId="0" xfId="12" applyNumberFormat="1" applyFont="1"/>
    <xf numFmtId="10" fontId="1" fillId="0" borderId="0" xfId="12" applyNumberFormat="1" applyFont="1"/>
    <xf numFmtId="10" fontId="1" fillId="0" borderId="0" xfId="1" applyNumberFormat="1" applyFont="1"/>
    <xf numFmtId="0" fontId="0" fillId="0" borderId="0" xfId="0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/>
    <xf numFmtId="166" fontId="0" fillId="0" borderId="0" xfId="1" applyNumberFormat="1" applyFont="1" applyBorder="1"/>
    <xf numFmtId="9" fontId="0" fillId="0" borderId="0" xfId="1" applyFont="1" applyBorder="1" applyAlignment="1">
      <alignment horizontal="center" vertical="center"/>
    </xf>
    <xf numFmtId="9" fontId="0" fillId="0" borderId="0" xfId="1" applyFont="1" applyBorder="1"/>
    <xf numFmtId="0" fontId="0" fillId="0" borderId="0" xfId="0" applyFont="1" applyBorder="1" applyAlignment="1">
      <alignment horizontal="center"/>
    </xf>
    <xf numFmtId="0" fontId="0" fillId="0" borderId="0" xfId="0" applyFont="1" applyFill="1" applyBorder="1"/>
    <xf numFmtId="10" fontId="0" fillId="0" borderId="0" xfId="1" applyNumberFormat="1" applyFont="1" applyBorder="1"/>
    <xf numFmtId="0" fontId="8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/>
    </xf>
    <xf numFmtId="0" fontId="8" fillId="0" borderId="0" xfId="0" applyFont="1" applyBorder="1"/>
    <xf numFmtId="0" fontId="5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166" fontId="0" fillId="0" borderId="0" xfId="0" applyNumberFormat="1" applyFont="1" applyBorder="1"/>
    <xf numFmtId="10" fontId="0" fillId="0" borderId="0" xfId="0" applyNumberFormat="1" applyFont="1" applyBorder="1"/>
    <xf numFmtId="0" fontId="0" fillId="0" borderId="0" xfId="0" applyFont="1" applyBorder="1" applyAlignment="1">
      <alignment horizontal="right" vertical="center"/>
    </xf>
    <xf numFmtId="9" fontId="0" fillId="0" borderId="0" xfId="0" applyNumberFormat="1" applyFont="1" applyBorder="1"/>
    <xf numFmtId="4" fontId="0" fillId="0" borderId="0" xfId="0" applyNumberFormat="1" applyFont="1" applyBorder="1"/>
    <xf numFmtId="1" fontId="9" fillId="0" borderId="0" xfId="0" applyNumberFormat="1" applyFont="1" applyFill="1" applyBorder="1" applyAlignment="1">
      <alignment horizontal="left"/>
    </xf>
    <xf numFmtId="9" fontId="0" fillId="0" borderId="0" xfId="1" applyFont="1"/>
    <xf numFmtId="4" fontId="0" fillId="0" borderId="0" xfId="0" applyNumberFormat="1" applyFont="1"/>
    <xf numFmtId="0" fontId="0" fillId="0" borderId="0" xfId="0" applyNumberFormat="1" applyFont="1"/>
    <xf numFmtId="0" fontId="0" fillId="0" borderId="0" xfId="1" applyNumberFormat="1" applyFont="1"/>
    <xf numFmtId="4" fontId="44" fillId="0" borderId="0" xfId="0" applyNumberFormat="1" applyFont="1" applyBorder="1" applyAlignment="1"/>
    <xf numFmtId="0" fontId="44" fillId="0" borderId="0" xfId="0" applyFont="1" applyBorder="1" applyAlignment="1"/>
    <xf numFmtId="0" fontId="24" fillId="0" borderId="0" xfId="5" applyFont="1" applyAlignment="1">
      <alignment horizontal="left" wrapText="1"/>
    </xf>
    <xf numFmtId="0" fontId="15" fillId="0" borderId="0" xfId="5" applyFont="1" applyAlignment="1">
      <alignment horizontal="left"/>
    </xf>
    <xf numFmtId="0" fontId="16" fillId="8" borderId="0" xfId="5" applyFont="1" applyFill="1" applyAlignment="1">
      <alignment horizontal="center" wrapText="1"/>
    </xf>
    <xf numFmtId="0" fontId="19" fillId="8" borderId="0" xfId="5" applyFont="1" applyFill="1" applyAlignment="1">
      <alignment horizontal="center"/>
    </xf>
    <xf numFmtId="0" fontId="20" fillId="0" borderId="0" xfId="5" applyFont="1" applyAlignment="1">
      <alignment horizontal="center"/>
    </xf>
    <xf numFmtId="0" fontId="21" fillId="0" borderId="0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/>
    </xf>
    <xf numFmtId="0" fontId="22" fillId="0" borderId="0" xfId="5" applyFont="1" applyAlignment="1">
      <alignment horizontal="center"/>
    </xf>
    <xf numFmtId="0" fontId="23" fillId="0" borderId="0" xfId="5" applyFont="1" applyAlignment="1">
      <alignment horizontal="center"/>
    </xf>
    <xf numFmtId="0" fontId="8" fillId="3" borderId="0" xfId="0" applyFont="1" applyFill="1" applyBorder="1" applyAlignment="1">
      <alignment horizontal="center"/>
    </xf>
    <xf numFmtId="0" fontId="27" fillId="0" borderId="0" xfId="0" applyFont="1" applyAlignment="1">
      <alignment horizontal="left" vertical="center" wrapText="1"/>
    </xf>
    <xf numFmtId="0" fontId="26" fillId="3" borderId="1" xfId="0" applyFont="1" applyFill="1" applyBorder="1" applyAlignment="1">
      <alignment horizontal="left" vertical="center"/>
    </xf>
    <xf numFmtId="0" fontId="26" fillId="3" borderId="1" xfId="0" applyFont="1" applyFill="1" applyBorder="1" applyAlignment="1">
      <alignment horizontal="center"/>
    </xf>
    <xf numFmtId="0" fontId="26" fillId="3" borderId="2" xfId="0" applyFont="1" applyFill="1" applyBorder="1" applyAlignment="1">
      <alignment horizontal="center" vertical="center" wrapText="1"/>
    </xf>
    <xf numFmtId="0" fontId="26" fillId="3" borderId="3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/>
    </xf>
    <xf numFmtId="0" fontId="26" fillId="0" borderId="12" xfId="0" applyFont="1" applyBorder="1" applyAlignment="1">
      <alignment horizontal="left"/>
    </xf>
    <xf numFmtId="0" fontId="26" fillId="2" borderId="1" xfId="0" applyFont="1" applyFill="1" applyBorder="1" applyAlignment="1">
      <alignment horizontal="center" vertical="center" wrapText="1"/>
    </xf>
    <xf numFmtId="0" fontId="26" fillId="2" borderId="2" xfId="0" applyFont="1" applyFill="1" applyBorder="1" applyAlignment="1">
      <alignment horizontal="center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6" fillId="2" borderId="3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horizontal="center" vertical="center"/>
    </xf>
    <xf numFmtId="0" fontId="26" fillId="2" borderId="8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4" fontId="26" fillId="2" borderId="6" xfId="0" applyNumberFormat="1" applyFont="1" applyFill="1" applyBorder="1" applyAlignment="1">
      <alignment horizontal="center" vertical="center"/>
    </xf>
    <xf numFmtId="4" fontId="26" fillId="2" borderId="8" xfId="0" applyNumberFormat="1" applyFont="1" applyFill="1" applyBorder="1" applyAlignment="1">
      <alignment horizontal="center" vertical="center"/>
    </xf>
    <xf numFmtId="4" fontId="26" fillId="2" borderId="7" xfId="0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/>
    </xf>
    <xf numFmtId="4" fontId="26" fillId="0" borderId="1" xfId="0" applyNumberFormat="1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4" fontId="26" fillId="0" borderId="1" xfId="0" applyNumberFormat="1" applyFont="1" applyBorder="1" applyAlignment="1">
      <alignment horizontal="center" vertical="center" wrapText="1"/>
    </xf>
    <xf numFmtId="0" fontId="27" fillId="0" borderId="10" xfId="0" applyFont="1" applyBorder="1" applyAlignment="1">
      <alignment horizontal="right" vertical="center"/>
    </xf>
    <xf numFmtId="0" fontId="27" fillId="0" borderId="0" xfId="0" applyFont="1" applyAlignment="1">
      <alignment horizontal="right" vertical="center"/>
    </xf>
    <xf numFmtId="0" fontId="26" fillId="9" borderId="0" xfId="0" applyFont="1" applyFill="1" applyBorder="1" applyAlignment="1">
      <alignment horizontal="left" vertical="center"/>
    </xf>
    <xf numFmtId="4" fontId="26" fillId="0" borderId="6" xfId="0" applyNumberFormat="1" applyFont="1" applyBorder="1" applyAlignment="1">
      <alignment horizontal="center" vertical="center"/>
    </xf>
    <xf numFmtId="4" fontId="26" fillId="0" borderId="8" xfId="0" applyNumberFormat="1" applyFont="1" applyBorder="1" applyAlignment="1">
      <alignment horizontal="center" vertical="center"/>
    </xf>
    <xf numFmtId="4" fontId="26" fillId="0" borderId="7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textRotation="90"/>
    </xf>
    <xf numFmtId="0" fontId="26" fillId="5" borderId="2" xfId="0" applyFont="1" applyFill="1" applyBorder="1" applyAlignment="1">
      <alignment horizontal="center" vertical="center"/>
    </xf>
    <xf numFmtId="0" fontId="26" fillId="5" borderId="4" xfId="0" applyFont="1" applyFill="1" applyBorder="1" applyAlignment="1">
      <alignment horizontal="center" vertical="center"/>
    </xf>
    <xf numFmtId="0" fontId="26" fillId="5" borderId="3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" fillId="9" borderId="2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29" fillId="0" borderId="0" xfId="2" applyFont="1" applyBorder="1" applyAlignment="1">
      <alignment horizontal="center" vertical="center"/>
    </xf>
    <xf numFmtId="0" fontId="29" fillId="0" borderId="1" xfId="2" applyFont="1" applyBorder="1" applyAlignment="1">
      <alignment horizontal="center" vertical="center"/>
    </xf>
    <xf numFmtId="0" fontId="29" fillId="0" borderId="6" xfId="2" applyFont="1" applyBorder="1" applyAlignment="1">
      <alignment horizontal="center" vertical="center"/>
    </xf>
    <xf numFmtId="0" fontId="29" fillId="0" borderId="8" xfId="2" applyFont="1" applyBorder="1" applyAlignment="1">
      <alignment horizontal="center" vertical="center"/>
    </xf>
    <xf numFmtId="0" fontId="29" fillId="0" borderId="7" xfId="2" applyFont="1" applyBorder="1" applyAlignment="1">
      <alignment horizontal="center" vertical="center"/>
    </xf>
    <xf numFmtId="0" fontId="29" fillId="0" borderId="10" xfId="2" applyFont="1" applyBorder="1" applyAlignment="1">
      <alignment horizontal="center" vertical="center" wrapText="1"/>
    </xf>
    <xf numFmtId="0" fontId="31" fillId="2" borderId="2" xfId="2" applyFont="1" applyFill="1" applyBorder="1" applyAlignment="1">
      <alignment horizontal="center" vertical="center" wrapText="1"/>
    </xf>
    <xf numFmtId="0" fontId="31" fillId="2" borderId="3" xfId="2" applyFont="1" applyFill="1" applyBorder="1" applyAlignment="1">
      <alignment horizontal="center" vertical="center" wrapText="1"/>
    </xf>
    <xf numFmtId="0" fontId="29" fillId="0" borderId="2" xfId="2" applyFont="1" applyBorder="1" applyAlignment="1">
      <alignment horizontal="center" vertical="center" wrapText="1"/>
    </xf>
    <xf numFmtId="0" fontId="29" fillId="0" borderId="3" xfId="2" applyFont="1" applyBorder="1" applyAlignment="1">
      <alignment horizontal="center" vertical="center" wrapText="1"/>
    </xf>
    <xf numFmtId="0" fontId="31" fillId="2" borderId="8" xfId="2" applyFont="1" applyFill="1" applyBorder="1" applyAlignment="1">
      <alignment horizontal="center" vertical="center" wrapText="1"/>
    </xf>
    <xf numFmtId="0" fontId="31" fillId="2" borderId="7" xfId="2" applyFont="1" applyFill="1" applyBorder="1" applyAlignment="1">
      <alignment horizontal="center" vertical="center" wrapText="1"/>
    </xf>
    <xf numFmtId="0" fontId="31" fillId="2" borderId="6" xfId="2" applyFont="1" applyFill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6" fillId="10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textRotation="90" wrapText="1"/>
    </xf>
    <xf numFmtId="0" fontId="27" fillId="0" borderId="4" xfId="0" applyFont="1" applyBorder="1" applyAlignment="1">
      <alignment horizontal="center" vertical="center" textRotation="90" wrapText="1"/>
    </xf>
    <xf numFmtId="0" fontId="27" fillId="0" borderId="1" xfId="0" applyFont="1" applyBorder="1" applyAlignment="1">
      <alignment horizontal="center" vertical="center" textRotation="90" wrapText="1"/>
    </xf>
    <xf numFmtId="0" fontId="34" fillId="2" borderId="1" xfId="12" applyFont="1" applyFill="1" applyBorder="1" applyAlignment="1">
      <alignment horizontal="center" vertical="center"/>
    </xf>
    <xf numFmtId="0" fontId="8" fillId="2" borderId="1" xfId="12" applyFont="1" applyFill="1" applyBorder="1" applyAlignment="1">
      <alignment horizontal="center"/>
    </xf>
    <xf numFmtId="0" fontId="8" fillId="2" borderId="1" xfId="5" applyFont="1" applyFill="1" applyBorder="1" applyAlignment="1">
      <alignment horizontal="center" vertical="center"/>
    </xf>
    <xf numFmtId="0" fontId="8" fillId="2" borderId="6" xfId="5" applyFont="1" applyFill="1" applyBorder="1" applyAlignment="1">
      <alignment horizontal="center"/>
    </xf>
    <xf numFmtId="0" fontId="8" fillId="2" borderId="8" xfId="5" applyFont="1" applyFill="1" applyBorder="1" applyAlignment="1">
      <alignment horizontal="center"/>
    </xf>
    <xf numFmtId="0" fontId="8" fillId="2" borderId="7" xfId="5" applyFont="1" applyFill="1" applyBorder="1" applyAlignment="1">
      <alignment horizontal="center"/>
    </xf>
    <xf numFmtId="0" fontId="26" fillId="2" borderId="1" xfId="12" applyFont="1" applyFill="1" applyBorder="1" applyAlignment="1">
      <alignment horizontal="center" vertical="center"/>
    </xf>
    <xf numFmtId="0" fontId="8" fillId="11" borderId="1" xfId="5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center" vertical="center"/>
    </xf>
    <xf numFmtId="0" fontId="8" fillId="11" borderId="8" xfId="5" applyFont="1" applyFill="1" applyBorder="1" applyAlignment="1">
      <alignment horizontal="center" vertical="center"/>
    </xf>
    <xf numFmtId="0" fontId="8" fillId="11" borderId="7" xfId="5" applyFont="1" applyFill="1" applyBorder="1" applyAlignment="1">
      <alignment horizontal="center" vertical="center"/>
    </xf>
    <xf numFmtId="0" fontId="8" fillId="11" borderId="1" xfId="5" applyFont="1" applyFill="1" applyBorder="1" applyAlignment="1">
      <alignment horizontal="center" vertical="center" wrapText="1"/>
    </xf>
    <xf numFmtId="0" fontId="8" fillId="11" borderId="5" xfId="5" applyFont="1" applyFill="1" applyBorder="1" applyAlignment="1">
      <alignment horizontal="center" vertical="center"/>
    </xf>
    <xf numFmtId="0" fontId="8" fillId="11" borderId="0" xfId="5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left"/>
    </xf>
    <xf numFmtId="0" fontId="8" fillId="11" borderId="8" xfId="5" applyFont="1" applyFill="1" applyBorder="1" applyAlignment="1">
      <alignment horizontal="left"/>
    </xf>
    <xf numFmtId="4" fontId="3" fillId="9" borderId="6" xfId="5" applyNumberFormat="1" applyFont="1" applyFill="1" applyBorder="1" applyAlignment="1">
      <alignment horizontal="center" vertical="center"/>
    </xf>
    <xf numFmtId="4" fontId="3" fillId="9" borderId="7" xfId="5" applyNumberFormat="1" applyFont="1" applyFill="1" applyBorder="1" applyAlignment="1">
      <alignment horizontal="center" vertical="center"/>
    </xf>
    <xf numFmtId="0" fontId="8" fillId="11" borderId="6" xfId="5" applyFont="1" applyFill="1" applyBorder="1" applyAlignment="1">
      <alignment horizontal="center" vertical="center" wrapText="1"/>
    </xf>
    <xf numFmtId="0" fontId="8" fillId="11" borderId="7" xfId="5" applyFont="1" applyFill="1" applyBorder="1" applyAlignment="1">
      <alignment horizontal="center" vertical="center" wrapText="1"/>
    </xf>
    <xf numFmtId="0" fontId="8" fillId="11" borderId="6" xfId="5" applyFont="1" applyFill="1" applyBorder="1" applyAlignment="1">
      <alignment horizontal="center"/>
    </xf>
    <xf numFmtId="0" fontId="8" fillId="11" borderId="8" xfId="5" applyFont="1" applyFill="1" applyBorder="1" applyAlignment="1">
      <alignment horizontal="center"/>
    </xf>
    <xf numFmtId="0" fontId="8" fillId="11" borderId="7" xfId="5" applyFont="1" applyFill="1" applyBorder="1" applyAlignment="1">
      <alignment horizontal="center"/>
    </xf>
    <xf numFmtId="0" fontId="8" fillId="11" borderId="4" xfId="5" applyFont="1" applyFill="1" applyBorder="1" applyAlignment="1">
      <alignment horizontal="center" vertical="center"/>
    </xf>
    <xf numFmtId="0" fontId="8" fillId="11" borderId="3" xfId="5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left" wrapText="1"/>
    </xf>
    <xf numFmtId="0" fontId="0" fillId="3" borderId="7" xfId="0" applyFill="1" applyBorder="1" applyAlignment="1">
      <alignment horizontal="left" wrapText="1"/>
    </xf>
    <xf numFmtId="0" fontId="0" fillId="3" borderId="1" xfId="0" applyFill="1" applyBorder="1" applyAlignment="1">
      <alignment horizontal="center" wrapText="1"/>
    </xf>
    <xf numFmtId="0" fontId="0" fillId="3" borderId="8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 wrapText="1"/>
    </xf>
    <xf numFmtId="0" fontId="8" fillId="3" borderId="1" xfId="5" applyFont="1" applyFill="1" applyBorder="1" applyAlignment="1">
      <alignment horizontal="center" wrapText="1"/>
    </xf>
    <xf numFmtId="0" fontId="8" fillId="3" borderId="1" xfId="5" applyFont="1" applyFill="1" applyBorder="1" applyAlignment="1">
      <alignment horizontal="center" vertical="center"/>
    </xf>
    <xf numFmtId="0" fontId="8" fillId="3" borderId="2" xfId="5" applyFont="1" applyFill="1" applyBorder="1" applyAlignment="1">
      <alignment horizontal="center" wrapText="1"/>
    </xf>
    <xf numFmtId="0" fontId="8" fillId="3" borderId="3" xfId="5" applyFont="1" applyFill="1" applyBorder="1" applyAlignment="1">
      <alignment horizontal="center" wrapText="1"/>
    </xf>
    <xf numFmtId="0" fontId="8" fillId="3" borderId="6" xfId="5" applyFont="1" applyFill="1" applyBorder="1" applyAlignment="1">
      <alignment horizontal="center" vertical="center"/>
    </xf>
    <xf numFmtId="0" fontId="8" fillId="3" borderId="8" xfId="5" applyFont="1" applyFill="1" applyBorder="1" applyAlignment="1">
      <alignment horizontal="center" vertical="center"/>
    </xf>
    <xf numFmtId="0" fontId="8" fillId="3" borderId="7" xfId="5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 textRotation="90" wrapText="1"/>
    </xf>
    <xf numFmtId="0" fontId="27" fillId="0" borderId="3" xfId="0" applyFont="1" applyBorder="1" applyAlignment="1">
      <alignment horizontal="center" vertical="center" textRotation="90" wrapText="1"/>
    </xf>
    <xf numFmtId="0" fontId="0" fillId="0" borderId="1" xfId="0" applyBorder="1" applyAlignment="1">
      <alignment wrapText="1"/>
    </xf>
    <xf numFmtId="0" fontId="8" fillId="4" borderId="1" xfId="0" applyFont="1" applyFill="1" applyBorder="1" applyAlignment="1">
      <alignment horizontal="center"/>
    </xf>
  </cellXfs>
  <cellStyles count="14">
    <cellStyle name="Dziesiętny 2" xfId="3"/>
    <cellStyle name="Dziesiętny 3" xfId="7"/>
    <cellStyle name="Normalny" xfId="0" builtinId="0"/>
    <cellStyle name="Normalny 2" xfId="2"/>
    <cellStyle name="Normalny 2 2" xfId="5"/>
    <cellStyle name="Normalny 2 3" xfId="8"/>
    <cellStyle name="Normalny 3" xfId="6"/>
    <cellStyle name="Normalny 4" xfId="9"/>
    <cellStyle name="Normalny 5" xfId="10"/>
    <cellStyle name="Normalny 6" xfId="11"/>
    <cellStyle name="Normalny 7" xfId="12"/>
    <cellStyle name="Procentowy" xfId="1" builtinId="5"/>
    <cellStyle name="Procentowy 2" xfId="4"/>
    <cellStyle name="Procentowy 2 2" xfId="13"/>
  </cellStyles>
  <dxfs count="0"/>
  <tableStyles count="0" defaultTableStyle="TableStyleMedium2" defaultPivotStyle="PivotStyleMedium9"/>
  <colors>
    <mruColors>
      <color rgb="FFFF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</a:t>
            </a:r>
            <a:r>
              <a:rPr lang="pl-PL" baseline="0"/>
              <a:t> energii w latach 2010-2015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publiczne'!$B$2:$B$5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publiczne'!$C$2:$H$4</c15:sqref>
                  </c15:fullRef>
                  <c15:levelRef>
                    <c15:sqref>'Podsumowanie- Obiekty publiczne'!$C$4:$H$4</c15:sqref>
                  </c15:levelRef>
                </c:ext>
              </c:extLst>
              <c:f>('Podsumowanie- Obiekty publiczne'!$D$4,'Podsumowanie- Obiekty publiczne'!$G$4)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publiczne'!$C$5:$H$5</c15:sqref>
                  </c15:fullRef>
                </c:ext>
              </c:extLst>
              <c:f>('Podsumowanie- Obiekty publiczne'!$D$5,'Podsumowanie- Obiekty publiczne'!$G$5)</c:f>
              <c:numCache>
                <c:formatCode>#,##0.00</c:formatCode>
                <c:ptCount val="2"/>
                <c:pt idx="0">
                  <c:v>1149.037235328</c:v>
                </c:pt>
                <c:pt idx="1">
                  <c:v>176.95199999999997</c:v>
                </c:pt>
              </c:numCache>
            </c:numRef>
          </c:val>
        </c:ser>
        <c:ser>
          <c:idx val="1"/>
          <c:order val="1"/>
          <c:tx>
            <c:strRef>
              <c:f>'Podsumowanie- Obiekty publiczne'!$B$6:$B$9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publiczne'!$C$2:$H$4</c15:sqref>
                  </c15:fullRef>
                  <c15:levelRef>
                    <c15:sqref>'Podsumowanie- Obiekty publiczne'!$C$4:$H$4</c15:sqref>
                  </c15:levelRef>
                </c:ext>
              </c:extLst>
              <c:f>('Podsumowanie- Obiekty publiczne'!$D$4,'Podsumowanie- Obiekty publiczne'!$G$4)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publiczne'!$C$9:$H$9</c15:sqref>
                  </c15:fullRef>
                </c:ext>
              </c:extLst>
              <c:f>('Podsumowanie- Obiekty publiczne'!$D$9,'Podsumowanie- Obiekty publiczne'!$G$9)</c:f>
              <c:numCache>
                <c:formatCode>#,##0.00</c:formatCode>
                <c:ptCount val="2"/>
                <c:pt idx="0">
                  <c:v>987.017444544</c:v>
                </c:pt>
                <c:pt idx="1">
                  <c:v>164.24300000000005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922977776"/>
        <c:axId val="-1922988112"/>
      </c:barChart>
      <c:catAx>
        <c:axId val="-192297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922988112"/>
        <c:crosses val="autoZero"/>
        <c:auto val="1"/>
        <c:lblAlgn val="ctr"/>
        <c:lblOffset val="100"/>
        <c:noMultiLvlLbl val="0"/>
      </c:catAx>
      <c:valAx>
        <c:axId val="-19229881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9229777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</a:t>
            </a:r>
            <a:r>
              <a:rPr lang="pl-PL" baseline="0"/>
              <a:t> latach 2010-2015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publiczne'!$B$10:$B$13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publiczne'!$C$12:$H$12</c15:sqref>
                  </c15:fullRef>
                </c:ext>
              </c:extLst>
              <c:f>('Podsumowanie- Obiekty publiczne'!$D$12,'Podsumowanie- Obiekty publiczne'!$G$12)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publiczne'!$C$13:$H$13</c15:sqref>
                  </c15:fullRef>
                </c:ext>
              </c:extLst>
              <c:f>('Podsumowanie- Obiekty publiczne'!$D$13,'Podsumowanie- Obiekty publiczne'!$G$13)</c:f>
              <c:numCache>
                <c:formatCode>#,##0.00</c:formatCode>
                <c:ptCount val="2"/>
                <c:pt idx="0">
                  <c:v>282.55179945378399</c:v>
                </c:pt>
                <c:pt idx="1">
                  <c:v>143.685024</c:v>
                </c:pt>
              </c:numCache>
            </c:numRef>
          </c:val>
        </c:ser>
        <c:ser>
          <c:idx val="1"/>
          <c:order val="1"/>
          <c:tx>
            <c:strRef>
              <c:f>'Podsumowanie- Obiekty publiczne'!$B$14:$B$17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publiczne'!$C$12:$H$12</c15:sqref>
                  </c15:fullRef>
                </c:ext>
              </c:extLst>
              <c:f>('Podsumowanie- Obiekty publiczne'!$D$12,'Podsumowanie- Obiekty publiczne'!$G$12)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publiczne'!$C$17:$H$17</c15:sqref>
                  </c15:fullRef>
                </c:ext>
              </c:extLst>
              <c:f>('Podsumowanie- Obiekty publiczne'!$D$17,'Podsumowanie- Obiekty publiczne'!$G$17)</c:f>
              <c:numCache>
                <c:formatCode>#,##0.00</c:formatCode>
                <c:ptCount val="2"/>
                <c:pt idx="0">
                  <c:v>198.90004965503999</c:v>
                </c:pt>
                <c:pt idx="1">
                  <c:v>133.36531600000006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922984304"/>
        <c:axId val="-1922986480"/>
      </c:barChart>
      <c:catAx>
        <c:axId val="-1922984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922986480"/>
        <c:crosses val="autoZero"/>
        <c:auto val="1"/>
        <c:lblAlgn val="ctr"/>
        <c:lblOffset val="100"/>
        <c:noMultiLvlLbl val="0"/>
      </c:catAx>
      <c:valAx>
        <c:axId val="-1922986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9229843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</a:t>
            </a:r>
            <a:r>
              <a:rPr lang="pl-PL" baseline="0"/>
              <a:t> w roku 2010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publiczne'!$C$12:$G$12</c15:sqref>
                  </c15:fullRef>
                </c:ext>
              </c:extLst>
              <c:f>('Podsumowanie- Obiekty publiczne'!$D$12,'Podsumowanie- Obiekty publiczne'!$G$12)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publiczne'!$C$13:$G$13</c15:sqref>
                  </c15:fullRef>
                </c:ext>
              </c:extLst>
              <c:f>('Podsumowanie- Obiekty publiczne'!$D$13,'Podsumowanie- Obiekty publiczne'!$G$13)</c:f>
              <c:numCache>
                <c:formatCode>#,##0.00</c:formatCode>
                <c:ptCount val="2"/>
                <c:pt idx="0">
                  <c:v>282.55179945378399</c:v>
                </c:pt>
                <c:pt idx="1">
                  <c:v>143.685024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publiczne'!$C$13</c15:sqref>
                  <c15:spPr xmlns:c15="http://schemas.microsoft.com/office/drawing/2012/chart"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publiczne'!$E$13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 roku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publiczne'!$C$16:$G$16</c15:sqref>
                  </c15:fullRef>
                </c:ext>
              </c:extLst>
              <c:f>('Podsumowanie- Obiekty publiczne'!$D$16,'Podsumowanie- Obiekty publiczne'!$G$16)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publiczne'!$C$17:$G$17</c15:sqref>
                  </c15:fullRef>
                </c:ext>
              </c:extLst>
              <c:f>('Podsumowanie- Obiekty publiczne'!$D$17,'Podsumowanie- Obiekty publiczne'!$G$17)</c:f>
              <c:numCache>
                <c:formatCode>#,##0.00</c:formatCode>
                <c:ptCount val="2"/>
                <c:pt idx="0">
                  <c:v>198.90004965503999</c:v>
                </c:pt>
                <c:pt idx="1">
                  <c:v>133.36531600000006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publiczne'!$C$17</c15:sqref>
                  <c15:spPr xmlns:c15="http://schemas.microsoft.com/office/drawing/2012/chart"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publiczne'!$E$17</c15:sqref>
                  <c15:spPr xmlns:c15="http://schemas.microsoft.com/office/drawing/2012/chart"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</a:t>
            </a:r>
            <a:r>
              <a:rPr lang="pl-PL" baseline="0"/>
              <a:t> 2010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publiczne'!$C$4:$G$4</c15:sqref>
                  </c15:fullRef>
                </c:ext>
              </c:extLst>
              <c:f>('Podsumowanie- Obiekty publiczne'!$D$4,'Podsumowanie- Obiekty publiczne'!$G$4)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publiczne'!$C$5:$G$5</c15:sqref>
                  </c15:fullRef>
                </c:ext>
              </c:extLst>
              <c:f>('Podsumowanie- Obiekty publiczne'!$D$5,'Podsumowanie- Obiekty publiczne'!$G$5)</c:f>
              <c:numCache>
                <c:formatCode>#,##0.00</c:formatCode>
                <c:ptCount val="2"/>
                <c:pt idx="0">
                  <c:v>1149.037235328</c:v>
                </c:pt>
                <c:pt idx="1">
                  <c:v>176.95199999999997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publiczne'!$C$5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publiczne'!$E$5</c15:sqref>
                  <c15:spPr xmlns:c15="http://schemas.microsoft.com/office/drawing/2012/chart"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publiczne'!$C$8:$G$8</c15:sqref>
                  </c15:fullRef>
                </c:ext>
              </c:extLst>
              <c:f>('Podsumowanie- Obiekty publiczne'!$D$8,'Podsumowanie- Obiekty publiczne'!$G$8)</c:f>
              <c:strCache>
                <c:ptCount val="2"/>
                <c:pt idx="0">
                  <c:v>Gaz ziemny</c:v>
                </c:pt>
                <c:pt idx="1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publiczne'!$C$9:$G$9</c15:sqref>
                  </c15:fullRef>
                </c:ext>
              </c:extLst>
              <c:f>('Podsumowanie- Obiekty publiczne'!$D$9,'Podsumowanie- Obiekty publiczne'!$G$9)</c:f>
              <c:numCache>
                <c:formatCode>#,##0.00</c:formatCode>
                <c:ptCount val="2"/>
                <c:pt idx="0">
                  <c:v>987.017444544</c:v>
                </c:pt>
                <c:pt idx="1">
                  <c:v>164.24300000000005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publiczne'!$C$9</c15:sqref>
                  <c15:spPr xmlns:c15="http://schemas.microsoft.com/office/drawing/2012/chart"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  <c15:categoryFilterException>
                  <c15:sqref>'Podsumowanie- Obiekty publiczne'!$E$9</c15:sqref>
                  <c15:spPr xmlns:c15="http://schemas.microsoft.com/office/drawing/2012/chart"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Wyliczone zużycie paliwa (MWh)</a:t>
            </a:r>
            <a:r>
              <a:rPr lang="pl-PL"/>
              <a:t> rok 2010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'Transport- rok bazowy '!$N$44</c:f>
              <c:strCache>
                <c:ptCount val="1"/>
                <c:pt idx="0">
                  <c:v>Wyliczone zużycie paliwa (MWh)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'Transport- rok bazowy '!$M$45:$M$47</c:f>
              <c:strCache>
                <c:ptCount val="3"/>
                <c:pt idx="0">
                  <c:v>Benzyna</c:v>
                </c:pt>
                <c:pt idx="1">
                  <c:v>Olej napędowy</c:v>
                </c:pt>
                <c:pt idx="2">
                  <c:v>LPG</c:v>
                </c:pt>
              </c:strCache>
            </c:strRef>
          </c:cat>
          <c:val>
            <c:numRef>
              <c:f>'Transport- rok bazowy '!$N$45:$N$47</c:f>
              <c:numCache>
                <c:formatCode>#,##0.00</c:formatCode>
                <c:ptCount val="3"/>
                <c:pt idx="0">
                  <c:v>9210.685045748869</c:v>
                </c:pt>
                <c:pt idx="1">
                  <c:v>8922.3734596368577</c:v>
                </c:pt>
                <c:pt idx="2">
                  <c:v>1745.9548511681364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Wyliczone zużycie paliwa (MWh)</a:t>
            </a:r>
            <a:r>
              <a:rPr lang="pl-PL"/>
              <a:t> rok 2015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'Transport- rok kontrolny'!$N$44</c:f>
              <c:strCache>
                <c:ptCount val="1"/>
                <c:pt idx="0">
                  <c:v>Wyliczone zużycie paliwa (MWh)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'Transport- rok kontrolny'!$M$45:$M$47</c:f>
              <c:strCache>
                <c:ptCount val="3"/>
                <c:pt idx="0">
                  <c:v>Benzyna</c:v>
                </c:pt>
                <c:pt idx="1">
                  <c:v>Olej napędowy</c:v>
                </c:pt>
                <c:pt idx="2">
                  <c:v>LPG</c:v>
                </c:pt>
              </c:strCache>
            </c:strRef>
          </c:cat>
          <c:val>
            <c:numRef>
              <c:f>'Transport- rok kontrolny'!$N$45:$N$47</c:f>
              <c:numCache>
                <c:formatCode>#,##0.00</c:formatCode>
                <c:ptCount val="3"/>
                <c:pt idx="0">
                  <c:v>9848.5344266172287</c:v>
                </c:pt>
                <c:pt idx="1">
                  <c:v>8578.2500624272361</c:v>
                </c:pt>
                <c:pt idx="2">
                  <c:v>1925.1924819209066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</a:t>
            </a:r>
            <a:r>
              <a:rPr lang="pl-PL" baseline="0"/>
              <a:t> energii w latach 2010-2015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prywatne'!$B$2:$B$5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prywatne'!$C$2:$H$4</c15:sqref>
                  </c15:fullRef>
                  <c15:levelRef>
                    <c15:sqref>'Podsumowanie- Obiekty prywatne'!$C$4:$H$4</c15:sqref>
                  </c15:levelRef>
                </c:ext>
              </c:extLst>
              <c:f>'Podsumowanie- Obiekty prywatne'!$C$4:$G$4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prywatne'!$C$5:$H$5</c15:sqref>
                  </c15:fullRef>
                </c:ext>
              </c:extLst>
              <c:f>'Podsumowanie- Obiekty prywatne'!$C$5:$G$5</c:f>
              <c:numCache>
                <c:formatCode>#,##0.00</c:formatCode>
                <c:ptCount val="5"/>
                <c:pt idx="0">
                  <c:v>61988.028448101264</c:v>
                </c:pt>
                <c:pt idx="1">
                  <c:v>6314.5735488</c:v>
                </c:pt>
                <c:pt idx="2">
                  <c:v>0</c:v>
                </c:pt>
                <c:pt idx="3">
                  <c:v>5065.9779645569615</c:v>
                </c:pt>
                <c:pt idx="4">
                  <c:v>5417.4038481012667</c:v>
                </c:pt>
              </c:numCache>
            </c:numRef>
          </c:val>
        </c:ser>
        <c:ser>
          <c:idx val="1"/>
          <c:order val="1"/>
          <c:tx>
            <c:strRef>
              <c:f>'Podsumowanie- Obiekty prywatne'!$B$6:$B$9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prywatne'!$C$2:$H$4</c15:sqref>
                  </c15:fullRef>
                  <c15:levelRef>
                    <c15:sqref>'Podsumowanie- Obiekty prywatne'!$C$4:$H$4</c15:sqref>
                  </c15:levelRef>
                </c:ext>
              </c:extLst>
              <c:f>'Podsumowanie- Obiekty prywatne'!$C$4:$G$4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prywatne'!$C$9:$H$9</c15:sqref>
                  </c15:fullRef>
                </c:ext>
              </c:extLst>
              <c:f>'Podsumowanie- Obiekty prywatne'!$C$9:$G$9</c:f>
              <c:numCache>
                <c:formatCode>#,##0.00</c:formatCode>
                <c:ptCount val="5"/>
                <c:pt idx="0">
                  <c:v>64445.70358481013</c:v>
                </c:pt>
                <c:pt idx="1">
                  <c:v>6148.9266624000002</c:v>
                </c:pt>
                <c:pt idx="2">
                  <c:v>0</c:v>
                </c:pt>
                <c:pt idx="3">
                  <c:v>5266.8317164556956</c:v>
                </c:pt>
                <c:pt idx="4">
                  <c:v>5632.1907848101273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5447952"/>
        <c:axId val="-1845442512"/>
      </c:barChart>
      <c:catAx>
        <c:axId val="-1845447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5442512"/>
        <c:crosses val="autoZero"/>
        <c:auto val="1"/>
        <c:lblAlgn val="ctr"/>
        <c:lblOffset val="100"/>
        <c:noMultiLvlLbl val="0"/>
      </c:catAx>
      <c:valAx>
        <c:axId val="-1845442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54479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</a:t>
            </a:r>
            <a:r>
              <a:rPr lang="pl-PL" baseline="0"/>
              <a:t> latach 2010-2015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Obiekty prywatne'!$B$10:$B$13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prywatne'!$C$12:$H$12</c15:sqref>
                  </c15:fullRef>
                </c:ext>
              </c:extLst>
              <c:f>'Podsumowanie- Obiekty prywatne'!$C$12:$G$12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prywatne'!$C$13:$H$13</c15:sqref>
                  </c15:fullRef>
                </c:ext>
              </c:extLst>
              <c:f>'Podsumowanie- Obiekty prywatne'!$C$13:$G$13</c:f>
              <c:numCache>
                <c:formatCode>#,##0.00</c:formatCode>
                <c:ptCount val="5"/>
                <c:pt idx="0">
                  <c:v>25682.705178607594</c:v>
                </c:pt>
                <c:pt idx="1">
                  <c:v>1552.7731079031541</c:v>
                </c:pt>
                <c:pt idx="2">
                  <c:v>0</c:v>
                </c:pt>
                <c:pt idx="3">
                  <c:v>0</c:v>
                </c:pt>
                <c:pt idx="4">
                  <c:v>4398.931924658229</c:v>
                </c:pt>
              </c:numCache>
            </c:numRef>
          </c:val>
        </c:ser>
        <c:ser>
          <c:idx val="1"/>
          <c:order val="1"/>
          <c:tx>
            <c:strRef>
              <c:f>'Podsumowanie- Obiekty prywatne'!$B$14:$B$17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prywatne'!$C$12:$H$12</c15:sqref>
                  </c15:fullRef>
                </c:ext>
              </c:extLst>
              <c:f>'Podsumowanie- Obiekty prywatne'!$C$12:$G$12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prywatne'!$C$17:$H$17</c15:sqref>
                  </c15:fullRef>
                </c:ext>
              </c:extLst>
              <c:f>'Podsumowanie- Obiekty prywatne'!$C$17:$G$17</c:f>
              <c:numCache>
                <c:formatCode>#,##0.00</c:formatCode>
                <c:ptCount val="5"/>
                <c:pt idx="0">
                  <c:v>21860.354905518987</c:v>
                </c:pt>
                <c:pt idx="1">
                  <c:v>1239.1086147839999</c:v>
                </c:pt>
                <c:pt idx="2">
                  <c:v>0</c:v>
                </c:pt>
                <c:pt idx="3">
                  <c:v>0</c:v>
                </c:pt>
                <c:pt idx="4">
                  <c:v>4573.3389172658235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5435440"/>
        <c:axId val="-1845441968"/>
      </c:barChart>
      <c:catAx>
        <c:axId val="-1845435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5441968"/>
        <c:crosses val="autoZero"/>
        <c:auto val="1"/>
        <c:lblAlgn val="ctr"/>
        <c:lblOffset val="100"/>
        <c:noMultiLvlLbl val="0"/>
      </c:catAx>
      <c:valAx>
        <c:axId val="-18454419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5435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</a:t>
            </a:r>
            <a:r>
              <a:rPr lang="pl-PL" baseline="0"/>
              <a:t> w roku 2010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prywatne'!$C$12:$G$12</c15:sqref>
                  </c15:fullRef>
                </c:ext>
              </c:extLst>
              <c:f>('Podsumowanie- Obiekty prywatne'!$C$12,'Podsumowanie- Obiekty prywatne'!$E$12:$G$12)</c:f>
              <c:strCache>
                <c:ptCount val="4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prywatne'!$C$13:$G$13</c15:sqref>
                  </c15:fullRef>
                </c:ext>
              </c:extLst>
              <c:f>('Podsumowanie- Obiekty prywatne'!$C$13,'Podsumowanie- Obiekty prywatne'!$E$13:$G$13)</c:f>
              <c:numCache>
                <c:formatCode>#,##0.00</c:formatCode>
                <c:ptCount val="4"/>
                <c:pt idx="0">
                  <c:v>25682.705178607594</c:v>
                </c:pt>
                <c:pt idx="1">
                  <c:v>0</c:v>
                </c:pt>
                <c:pt idx="2">
                  <c:v>0</c:v>
                </c:pt>
                <c:pt idx="3">
                  <c:v>4398.931924658229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prywatne'!$C$16:$G$16</c15:sqref>
                  </c15:fullRef>
                </c:ext>
              </c:extLst>
              <c:f>('Podsumowanie- Obiekty prywatne'!$C$16,'Podsumowanie- Obiekty prywatne'!$E$16:$G$16)</c:f>
              <c:strCache>
                <c:ptCount val="4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prywatne'!$C$17:$G$17</c15:sqref>
                  </c15:fullRef>
                </c:ext>
              </c:extLst>
              <c:f>('Podsumowanie- Obiekty prywatne'!$C$17,'Podsumowanie- Obiekty prywatne'!$E$17:$G$17)</c:f>
              <c:numCache>
                <c:formatCode>#,##0.00</c:formatCode>
                <c:ptCount val="4"/>
                <c:pt idx="0">
                  <c:v>21860.354905518987</c:v>
                </c:pt>
                <c:pt idx="1">
                  <c:v>0</c:v>
                </c:pt>
                <c:pt idx="2">
                  <c:v>0</c:v>
                </c:pt>
                <c:pt idx="3">
                  <c:v>4573.3389172658235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</a:t>
            </a:r>
            <a:r>
              <a:rPr lang="pl-PL" baseline="0"/>
              <a:t> 2010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prywatne'!$C$4:$G$4</c15:sqref>
                  </c15:fullRef>
                </c:ext>
              </c:extLst>
              <c:f>('Podsumowanie- Obiekty prywatne'!$C$4:$D$4,'Podsumowanie- Obiekty prywatne'!$F$4:$G$4)</c:f>
              <c:strCache>
                <c:ptCount val="4"/>
                <c:pt idx="0">
                  <c:v>Węgiel kamienny</c:v>
                </c:pt>
                <c:pt idx="1">
                  <c:v>Gaz ziemny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prywatne'!$C$5:$G$5</c15:sqref>
                  </c15:fullRef>
                </c:ext>
              </c:extLst>
              <c:f>('Podsumowanie- Obiekty prywatne'!$C$5:$D$5,'Podsumowanie- Obiekty prywatne'!$F$5:$G$5)</c:f>
              <c:numCache>
                <c:formatCode>#,##0.00</c:formatCode>
                <c:ptCount val="4"/>
                <c:pt idx="0">
                  <c:v>61988.028448101264</c:v>
                </c:pt>
                <c:pt idx="1">
                  <c:v>6314.5735488</c:v>
                </c:pt>
                <c:pt idx="2">
                  <c:v>5065.9779645569615</c:v>
                </c:pt>
                <c:pt idx="3">
                  <c:v>5417.4038481012667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'Podsumowanie- Obiekty prywatne'!$E$5</c15:sqref>
                  <c15:spPr xmlns:c15="http://schemas.microsoft.com/office/drawing/2012/chart"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15:spPr>
                  <c15:bubble3D val="0"/>
                </c15:categoryFilterException>
              </c15:categoryFilterExceptions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</a:t>
            </a:r>
            <a:r>
              <a:rPr lang="pl-PL" baseline="0"/>
              <a:t> w roku 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Obiekty prywatne'!$C$8:$G$8</c15:sqref>
                  </c15:fullRef>
                </c:ext>
              </c:extLst>
              <c:f>('Podsumowanie- Obiekty prywatne'!$C$8:$D$8,'Podsumowanie- Obiekty prywatne'!$F$8:$G$8)</c:f>
              <c:strCache>
                <c:ptCount val="4"/>
                <c:pt idx="0">
                  <c:v>Węgiel kamienny</c:v>
                </c:pt>
                <c:pt idx="1">
                  <c:v>Gaz ziemny</c:v>
                </c:pt>
                <c:pt idx="2">
                  <c:v>Drewno opałowe</c:v>
                </c:pt>
                <c:pt idx="3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Obiekty prywatne'!$C$9:$G$9</c15:sqref>
                  </c15:fullRef>
                </c:ext>
              </c:extLst>
              <c:f>('Podsumowanie- Obiekty prywatne'!$C$9:$D$9,'Podsumowanie- Obiekty prywatne'!$F$9:$G$9)</c:f>
              <c:numCache>
                <c:formatCode>#,##0.00</c:formatCode>
                <c:ptCount val="4"/>
                <c:pt idx="0">
                  <c:v>64445.70358481013</c:v>
                </c:pt>
                <c:pt idx="1">
                  <c:v>6148.9266624000002</c:v>
                </c:pt>
                <c:pt idx="2">
                  <c:v>5266.8317164556956</c:v>
                </c:pt>
                <c:pt idx="3">
                  <c:v>5632.1907848101273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</a:t>
            </a:r>
            <a:r>
              <a:rPr lang="pl-PL" baseline="0"/>
              <a:t> energii w latach 2010-2015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Przedsiębiorcy'!$B$2:$B$5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Przedsiębiorcy'!$C$2:$H$4</c15:sqref>
                  </c15:fullRef>
                  <c15:levelRef>
                    <c15:sqref>'Podsumowanie- Przedsiębiorcy'!$C$4:$H$4</c15:sqref>
                  </c15:levelRef>
                </c:ext>
              </c:extLst>
              <c:f>'Podsumowanie- Przedsiębiorcy'!$C$4:$G$4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Przedsiębiorcy'!$C$5:$H$5</c15:sqref>
                  </c15:fullRef>
                </c:ext>
              </c:extLst>
              <c:f>'Podsumowanie- Przedsiębiorcy'!$C$5:$G$5</c:f>
              <c:numCache>
                <c:formatCode>#,##0.00</c:formatCode>
                <c:ptCount val="5"/>
                <c:pt idx="0">
                  <c:v>39004.603532307694</c:v>
                </c:pt>
                <c:pt idx="1">
                  <c:v>4150.6920959999998</c:v>
                </c:pt>
                <c:pt idx="2">
                  <c:v>18437.947441615386</c:v>
                </c:pt>
                <c:pt idx="3">
                  <c:v>3280.788</c:v>
                </c:pt>
                <c:pt idx="4">
                  <c:v>920.38109999999995</c:v>
                </c:pt>
              </c:numCache>
            </c:numRef>
          </c:val>
        </c:ser>
        <c:ser>
          <c:idx val="1"/>
          <c:order val="1"/>
          <c:tx>
            <c:strRef>
              <c:f>'Podsumowanie- Przedsiębiorcy'!$B$6:$B$9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Przedsiębiorcy'!$C$2:$H$4</c15:sqref>
                  </c15:fullRef>
                  <c15:levelRef>
                    <c15:sqref>'Podsumowanie- Przedsiębiorcy'!$C$4:$H$4</c15:sqref>
                  </c15:levelRef>
                </c:ext>
              </c:extLst>
              <c:f>'Podsumowanie- Przedsiębiorcy'!$C$4:$G$4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Przedsiębiorcy'!$C$9:$H$9</c15:sqref>
                  </c15:fullRef>
                </c:ext>
              </c:extLst>
              <c:f>'Podsumowanie- Przedsiębiorcy'!$C$9:$G$9</c:f>
              <c:numCache>
                <c:formatCode>#,##0.00</c:formatCode>
                <c:ptCount val="5"/>
                <c:pt idx="0">
                  <c:v>42490.121294769233</c:v>
                </c:pt>
                <c:pt idx="1">
                  <c:v>4021.2209663999997</c:v>
                </c:pt>
                <c:pt idx="2">
                  <c:v>20085.593808738464</c:v>
                </c:pt>
                <c:pt idx="3">
                  <c:v>3573.9648000000002</c:v>
                </c:pt>
                <c:pt idx="4">
                  <c:v>946.53440000000001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1844826448"/>
        <c:axId val="-1844823728"/>
      </c:barChart>
      <c:catAx>
        <c:axId val="-18448264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823728"/>
        <c:crosses val="autoZero"/>
        <c:auto val="1"/>
        <c:lblAlgn val="ctr"/>
        <c:lblOffset val="100"/>
        <c:noMultiLvlLbl val="0"/>
      </c:catAx>
      <c:valAx>
        <c:axId val="-1844823728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-18448264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</a:t>
            </a:r>
            <a:r>
              <a:rPr lang="pl-PL" baseline="0"/>
              <a:t> latach 2010-2015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'Podsumowanie- Przedsiębiorcy'!$B$10:$B$13</c:f>
              <c:strCache>
                <c:ptCount val="1"/>
                <c:pt idx="0">
                  <c:v>2010 rok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Przedsiębiorcy'!$C$12:$H$12</c15:sqref>
                  </c15:fullRef>
                </c:ext>
              </c:extLst>
              <c:f>'Podsumowanie- Przedsiębiorcy'!$C$12:$G$12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Przedsiębiorcy'!$C$13:$H$13</c15:sqref>
                  </c15:fullRef>
                </c:ext>
              </c:extLst>
              <c:f>'Podsumowanie- Przedsiębiorcy'!$C$13:$G$13</c:f>
              <c:numCache>
                <c:formatCode>#,##0.00</c:formatCode>
                <c:ptCount val="5"/>
                <c:pt idx="0">
                  <c:v>16160.277366579465</c:v>
                </c:pt>
                <c:pt idx="1">
                  <c:v>1020.6679858974449</c:v>
                </c:pt>
                <c:pt idx="2">
                  <c:v>6220.9797116886448</c:v>
                </c:pt>
                <c:pt idx="3">
                  <c:v>0</c:v>
                </c:pt>
                <c:pt idx="4">
                  <c:v>747.34945319999997</c:v>
                </c:pt>
              </c:numCache>
            </c:numRef>
          </c:val>
        </c:ser>
        <c:ser>
          <c:idx val="1"/>
          <c:order val="1"/>
          <c:tx>
            <c:strRef>
              <c:f>'Podsumowanie- Przedsiębiorcy'!$B$14:$B$17</c:f>
              <c:strCache>
                <c:ptCount val="1"/>
                <c:pt idx="0">
                  <c:v>2015 rok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'Podsumowanie- Przedsiębiorcy'!$C$12:$H$12</c15:sqref>
                  </c15:fullRef>
                </c:ext>
              </c:extLst>
              <c:f>'Podsumowanie- Przedsiębiorcy'!$C$12:$G$12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'Podsumowanie- Przedsiębiorcy'!$C$17:$H$17</c15:sqref>
                  </c15:fullRef>
                </c:ext>
              </c:extLst>
              <c:f>'Podsumowanie- Przedsiębiorcy'!$C$17:$G$17</c:f>
              <c:numCache>
                <c:formatCode>#,##0.00</c:formatCode>
                <c:ptCount val="5"/>
                <c:pt idx="0">
                  <c:v>14412.894573489231</c:v>
                </c:pt>
                <c:pt idx="1">
                  <c:v>810.34135142399987</c:v>
                </c:pt>
                <c:pt idx="2">
                  <c:v>5553.6304325316933</c:v>
                </c:pt>
                <c:pt idx="3">
                  <c:v>0</c:v>
                </c:pt>
                <c:pt idx="4">
                  <c:v>768.58593280000002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-1844821552"/>
        <c:axId val="-1844836784"/>
      </c:barChart>
      <c:catAx>
        <c:axId val="-184482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836784"/>
        <c:crosses val="autoZero"/>
        <c:auto val="1"/>
        <c:lblAlgn val="ctr"/>
        <c:lblOffset val="100"/>
        <c:noMultiLvlLbl val="0"/>
      </c:catAx>
      <c:valAx>
        <c:axId val="-1844836784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-1844821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</a:t>
            </a:r>
            <a:r>
              <a:rPr lang="pl-PL" baseline="0"/>
              <a:t> w roku 2010</a:t>
            </a:r>
            <a:endParaRPr lang="pl-P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Przedsiębiorcy'!$C$12:$G$12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Przedsiębiorcy'!$C$13:$G$13</c:f>
              <c:numCache>
                <c:formatCode>#,##0.00</c:formatCode>
                <c:ptCount val="5"/>
                <c:pt idx="0">
                  <c:v>16160.277366579465</c:v>
                </c:pt>
                <c:pt idx="1">
                  <c:v>1020.6679858974449</c:v>
                </c:pt>
                <c:pt idx="2">
                  <c:v>6220.9797116886448</c:v>
                </c:pt>
                <c:pt idx="3">
                  <c:v>0</c:v>
                </c:pt>
                <c:pt idx="4">
                  <c:v>747.34945319999997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Emisja CO2 w roku 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'Podsumowanie- Przedsiębiorcy'!$C$16:$G$16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Przedsiębiorcy'!$C$17:$G$17</c:f>
              <c:numCache>
                <c:formatCode>#,##0.00</c:formatCode>
                <c:ptCount val="5"/>
                <c:pt idx="0">
                  <c:v>14412.894573489231</c:v>
                </c:pt>
                <c:pt idx="1">
                  <c:v>810.34135142399987</c:v>
                </c:pt>
                <c:pt idx="2">
                  <c:v>5553.6304325316933</c:v>
                </c:pt>
                <c:pt idx="3">
                  <c:v>0</c:v>
                </c:pt>
                <c:pt idx="4">
                  <c:v>768.58593280000002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 2010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Przedsiębiorcy'!$C$4:$G$4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Przedsiębiorcy'!$C$5:$G$5</c:f>
              <c:numCache>
                <c:formatCode>#,##0.00</c:formatCode>
                <c:ptCount val="5"/>
                <c:pt idx="0">
                  <c:v>39004.603532307694</c:v>
                </c:pt>
                <c:pt idx="1">
                  <c:v>4150.6920959999998</c:v>
                </c:pt>
                <c:pt idx="2">
                  <c:v>18437.947441615386</c:v>
                </c:pt>
                <c:pt idx="3">
                  <c:v>3280.788</c:v>
                </c:pt>
                <c:pt idx="4">
                  <c:v>920.38109999999995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Zużycie energii w roku 2015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'Podsumowanie- Przedsiębiorcy'!$C$8:$G$8</c:f>
              <c:strCache>
                <c:ptCount val="5"/>
                <c:pt idx="0">
                  <c:v>Węgiel kamienny</c:v>
                </c:pt>
                <c:pt idx="1">
                  <c:v>Gaz ziemny</c:v>
                </c:pt>
                <c:pt idx="2">
                  <c:v>Olej opałowy</c:v>
                </c:pt>
                <c:pt idx="3">
                  <c:v>Drewno opałowe</c:v>
                </c:pt>
                <c:pt idx="4">
                  <c:v>Energia elektryczna</c:v>
                </c:pt>
              </c:strCache>
            </c:strRef>
          </c:cat>
          <c:val>
            <c:numRef>
              <c:f>'Podsumowanie- Przedsiębiorcy'!$C$9:$G$9</c:f>
              <c:numCache>
                <c:formatCode>#,##0.00</c:formatCode>
                <c:ptCount val="5"/>
                <c:pt idx="0">
                  <c:v>42490.121294769233</c:v>
                </c:pt>
                <c:pt idx="1">
                  <c:v>4021.2209663999997</c:v>
                </c:pt>
                <c:pt idx="2">
                  <c:v>20085.593808738464</c:v>
                </c:pt>
                <c:pt idx="3">
                  <c:v>3573.9648000000002</c:v>
                </c:pt>
                <c:pt idx="4">
                  <c:v>946.53440000000001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 zużycia energii w</a:t>
            </a:r>
            <a:r>
              <a:rPr lang="pl-PL" baseline="0"/>
              <a:t> latach 2010-2015</a:t>
            </a:r>
            <a:endParaRPr lang="pl-P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Podsumowanie!$F$4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Podsumowanie!$E$5:$E$9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Podsumowanie!$F$5:$F$9</c:f>
              <c:numCache>
                <c:formatCode>General</c:formatCode>
                <c:ptCount val="5"/>
                <c:pt idx="0">
                  <c:v>1325.9892353279999</c:v>
                </c:pt>
                <c:pt idx="1">
                  <c:v>78785.983809559504</c:v>
                </c:pt>
                <c:pt idx="2">
                  <c:v>19879.013356553864</c:v>
                </c:pt>
                <c:pt idx="3">
                  <c:v>280.47280000000001</c:v>
                </c:pt>
                <c:pt idx="4">
                  <c:v>65794.412169923075</c:v>
                </c:pt>
              </c:numCache>
            </c:numRef>
          </c:val>
        </c:ser>
        <c:ser>
          <c:idx val="1"/>
          <c:order val="1"/>
          <c:tx>
            <c:strRef>
              <c:f>Podsumowanie!$G$4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Podsumowanie!$E$5:$E$9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Podsumowanie!$G$5:$G$9</c:f>
              <c:numCache>
                <c:formatCode>General</c:formatCode>
                <c:ptCount val="5"/>
                <c:pt idx="0">
                  <c:v>1151.2604445440002</c:v>
                </c:pt>
                <c:pt idx="1">
                  <c:v>81493.652748475943</c:v>
                </c:pt>
                <c:pt idx="2">
                  <c:v>20351.97697096537</c:v>
                </c:pt>
                <c:pt idx="3">
                  <c:v>280.47280000000001</c:v>
                </c:pt>
                <c:pt idx="4">
                  <c:v>71117.435269907699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844105104"/>
        <c:axId val="-1844096944"/>
      </c:barChart>
      <c:catAx>
        <c:axId val="-1844105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096944"/>
        <c:crosses val="autoZero"/>
        <c:auto val="1"/>
        <c:lblAlgn val="ctr"/>
        <c:lblOffset val="100"/>
        <c:noMultiLvlLbl val="0"/>
      </c:catAx>
      <c:valAx>
        <c:axId val="-184409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1051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 emisji CO2 w latach 2010-2015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Podsumowanie!$F$10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Podsumowanie!$E$11:$E$15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Podsumowanie!$F$11:$F$15</c:f>
              <c:numCache>
                <c:formatCode>#,##0.00</c:formatCode>
                <c:ptCount val="5"/>
                <c:pt idx="0">
                  <c:v>426.23682345378398</c:v>
                </c:pt>
                <c:pt idx="1">
                  <c:v>31634.410211168979</c:v>
                </c:pt>
                <c:pt idx="2">
                  <c:v>6146.4324567882777</c:v>
                </c:pt>
                <c:pt idx="3">
                  <c:v>227.74391360000001</c:v>
                </c:pt>
                <c:pt idx="4">
                  <c:v>24149.274517365553</c:v>
                </c:pt>
              </c:numCache>
            </c:numRef>
          </c:val>
        </c:ser>
        <c:ser>
          <c:idx val="1"/>
          <c:order val="1"/>
          <c:tx>
            <c:strRef>
              <c:f>Podsumowanie!$G$10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Podsumowanie!$E$11:$E$15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Podsumowanie!$G$11:$G$15</c:f>
              <c:numCache>
                <c:formatCode>#,##0.00</c:formatCode>
                <c:ptCount val="5"/>
                <c:pt idx="0">
                  <c:v>332.26536565504006</c:v>
                </c:pt>
                <c:pt idx="1">
                  <c:v>27672.802437568811</c:v>
                </c:pt>
                <c:pt idx="2">
                  <c:v>5144.2600818019446</c:v>
                </c:pt>
                <c:pt idx="3">
                  <c:v>227.74391360000001</c:v>
                </c:pt>
                <c:pt idx="4">
                  <c:v>21545.452290244924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844103472"/>
        <c:axId val="-1844095856"/>
      </c:barChart>
      <c:catAx>
        <c:axId val="-1844103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095856"/>
        <c:crosses val="autoZero"/>
        <c:auto val="1"/>
        <c:lblAlgn val="ctr"/>
        <c:lblOffset val="100"/>
        <c:noMultiLvlLbl val="0"/>
      </c:catAx>
      <c:valAx>
        <c:axId val="-18440958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103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</a:t>
            </a:r>
            <a:r>
              <a:rPr lang="pl-PL" baseline="0"/>
              <a:t> zużycia nośników energetycznych w latach 2010-2015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Podsumowanie!$F$53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Podsumowanie!$E$54:$E$61</c15:sqref>
                  </c15:fullRef>
                </c:ext>
              </c:extLst>
              <c:f>(Podsumowanie!$E$54,Podsumowanie!$E$56:$E$61)</c:f>
              <c:strCache>
                <c:ptCount val="7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  <c:pt idx="4">
                  <c:v>LPG</c:v>
                </c:pt>
                <c:pt idx="5">
                  <c:v>Olej napędowy</c:v>
                </c:pt>
                <c:pt idx="6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Podsumowanie!$F$54:$F$61</c15:sqref>
                  </c15:fullRef>
                </c:ext>
              </c:extLst>
              <c:f>(Podsumowanie!$F$54,Podsumowanie!$F$56:$F$61)</c:f>
              <c:numCache>
                <c:formatCode>#,##0.00</c:formatCode>
                <c:ptCount val="7"/>
                <c:pt idx="0">
                  <c:v>100992.63198040896</c:v>
                </c:pt>
                <c:pt idx="1">
                  <c:v>18437.947441615386</c:v>
                </c:pt>
                <c:pt idx="2">
                  <c:v>8346.765964556962</c:v>
                </c:pt>
                <c:pt idx="3">
                  <c:v>6795.209748101267</c:v>
                </c:pt>
                <c:pt idx="4">
                  <c:v>1745.9548511681364</c:v>
                </c:pt>
                <c:pt idx="5">
                  <c:v>8922.3734596368577</c:v>
                </c:pt>
                <c:pt idx="6">
                  <c:v>9210.685045748869</c:v>
                </c:pt>
              </c:numCache>
            </c:numRef>
          </c:val>
        </c:ser>
        <c:ser>
          <c:idx val="1"/>
          <c:order val="1"/>
          <c:tx>
            <c:strRef>
              <c:f>Podsumowanie!$G$53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Podsumowanie!$E$54:$E$61</c15:sqref>
                  </c15:fullRef>
                </c:ext>
              </c:extLst>
              <c:f>(Podsumowanie!$E$54,Podsumowanie!$E$56:$E$61)</c:f>
              <c:strCache>
                <c:ptCount val="7"/>
                <c:pt idx="0">
                  <c:v>Węgiel kamienny</c:v>
                </c:pt>
                <c:pt idx="1">
                  <c:v>Olej opałowy</c:v>
                </c:pt>
                <c:pt idx="2">
                  <c:v>Drewno opałowe</c:v>
                </c:pt>
                <c:pt idx="3">
                  <c:v>Energia elektryczna</c:v>
                </c:pt>
                <c:pt idx="4">
                  <c:v>LPG</c:v>
                </c:pt>
                <c:pt idx="5">
                  <c:v>Olej napędowy</c:v>
                </c:pt>
                <c:pt idx="6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Podsumowanie!$G$54:$G$61</c15:sqref>
                  </c15:fullRef>
                </c:ext>
              </c:extLst>
              <c:f>(Podsumowanie!$G$54,Podsumowanie!$G$56:$G$61)</c:f>
              <c:numCache>
                <c:formatCode>#,##0.00</c:formatCode>
                <c:ptCount val="7"/>
                <c:pt idx="0">
                  <c:v>106935.82487957936</c:v>
                </c:pt>
                <c:pt idx="1">
                  <c:v>20085.593808738464</c:v>
                </c:pt>
                <c:pt idx="2">
                  <c:v>8840.7965164556954</c:v>
                </c:pt>
                <c:pt idx="3">
                  <c:v>7023.4409848101277</c:v>
                </c:pt>
                <c:pt idx="4">
                  <c:v>1925.1924819209066</c:v>
                </c:pt>
                <c:pt idx="5">
                  <c:v>8578.2500624272361</c:v>
                </c:pt>
                <c:pt idx="6">
                  <c:v>9848.5344266172287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844101296"/>
        <c:axId val="-1844102928"/>
      </c:barChart>
      <c:catAx>
        <c:axId val="-1844101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102928"/>
        <c:crosses val="autoZero"/>
        <c:auto val="1"/>
        <c:lblAlgn val="ctr"/>
        <c:lblOffset val="100"/>
        <c:noMultiLvlLbl val="0"/>
      </c:catAx>
      <c:valAx>
        <c:axId val="-1844102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10129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/>
              <a:t>Zmiana emisji nośników energetycznych w latach 2010-2015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Podsumowanie!$F$65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Podsumowanie!$E$66:$E$73</c15:sqref>
                  </c15:fullRef>
                </c:ext>
              </c:extLst>
              <c:f>(Podsumowanie!$E$66,Podsumowanie!$E$68,Podsumowanie!$E$70:$E$73)</c:f>
              <c:strCache>
                <c:ptCount val="6"/>
                <c:pt idx="0">
                  <c:v>Węgiel kamienny</c:v>
                </c:pt>
                <c:pt idx="1">
                  <c:v>Olej opałowy</c:v>
                </c:pt>
                <c:pt idx="2">
                  <c:v>Energia elektryczna</c:v>
                </c:pt>
                <c:pt idx="3">
                  <c:v>LPG</c:v>
                </c:pt>
                <c:pt idx="4">
                  <c:v>Olej napędowy</c:v>
                </c:pt>
                <c:pt idx="5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Podsumowanie!$F$66:$F$73</c15:sqref>
                  </c15:fullRef>
                </c:ext>
              </c:extLst>
              <c:f>(Podsumowanie!$F$66,Podsumowanie!$F$68,Podsumowanie!$F$70:$F$73)</c:f>
              <c:numCache>
                <c:formatCode>#,##0.00</c:formatCode>
                <c:ptCount val="6"/>
                <c:pt idx="0">
                  <c:v>41842.982545187057</c:v>
                </c:pt>
                <c:pt idx="1">
                  <c:v>6220.9797116886448</c:v>
                </c:pt>
                <c:pt idx="2">
                  <c:v>5517.7103154582292</c:v>
                </c:pt>
                <c:pt idx="3">
                  <c:v>480.25295553717376</c:v>
                </c:pt>
                <c:pt idx="4">
                  <c:v>2882.2803779522942</c:v>
                </c:pt>
                <c:pt idx="5">
                  <c:v>2783.8991232988096</c:v>
                </c:pt>
              </c:numCache>
            </c:numRef>
          </c:val>
        </c:ser>
        <c:ser>
          <c:idx val="1"/>
          <c:order val="1"/>
          <c:tx>
            <c:strRef>
              <c:f>Podsumowanie!$G$65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Podsumowanie!$E$66:$E$73</c15:sqref>
                  </c15:fullRef>
                </c:ext>
              </c:extLst>
              <c:f>(Podsumowanie!$E$66,Podsumowanie!$E$68,Podsumowanie!$E$70:$E$73)</c:f>
              <c:strCache>
                <c:ptCount val="6"/>
                <c:pt idx="0">
                  <c:v>Węgiel kamienny</c:v>
                </c:pt>
                <c:pt idx="1">
                  <c:v>Olej opałowy</c:v>
                </c:pt>
                <c:pt idx="2">
                  <c:v>Energia elektryczna</c:v>
                </c:pt>
                <c:pt idx="3">
                  <c:v>LPG</c:v>
                </c:pt>
                <c:pt idx="4">
                  <c:v>Olej napędowy</c:v>
                </c:pt>
                <c:pt idx="5">
                  <c:v>Benzyna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Podsumowanie!$G$66:$G$73</c15:sqref>
                  </c15:fullRef>
                </c:ext>
              </c:extLst>
              <c:f>(Podsumowanie!$G$66,Podsumowanie!$G$68,Podsumowanie!$G$70:$G$73)</c:f>
              <c:numCache>
                <c:formatCode>#,##0.00</c:formatCode>
                <c:ptCount val="6"/>
                <c:pt idx="0">
                  <c:v>36273.24947900822</c:v>
                </c:pt>
                <c:pt idx="1">
                  <c:v>5553.6304325316933</c:v>
                </c:pt>
                <c:pt idx="2">
                  <c:v>5703.0340796658238</c:v>
                </c:pt>
                <c:pt idx="3">
                  <c:v>433.96757606910256</c:v>
                </c:pt>
                <c:pt idx="4">
                  <c:v>2270.9136356598888</c:v>
                </c:pt>
                <c:pt idx="5">
                  <c:v>2439.3788700729533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844102384"/>
        <c:axId val="-1844091504"/>
      </c:barChart>
      <c:catAx>
        <c:axId val="-18441023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091504"/>
        <c:crosses val="autoZero"/>
        <c:auto val="1"/>
        <c:lblAlgn val="ctr"/>
        <c:lblOffset val="100"/>
        <c:noMultiLvlLbl val="0"/>
      </c:catAx>
      <c:valAx>
        <c:axId val="-18440915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-18441023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'Prognozy ogolne'!$A$1</c:f>
              <c:strCache>
                <c:ptCount val="1"/>
                <c:pt idx="0">
                  <c:v>Ludność- wielolecie</c:v>
                </c:pt>
              </c:strCache>
            </c:strRef>
          </c:tx>
          <c:invertIfNegative val="0"/>
          <c:cat>
            <c:numRef>
              <c:f>'Prognozy ogolne'!$A$2:$S$2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 formatCode="0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 formatCode="0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 formatCode="0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 formatCode="0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'Prognozy ogolne'!$A$3:$S$3</c:f>
              <c:numCache>
                <c:formatCode>General</c:formatCode>
                <c:ptCount val="19"/>
                <c:pt idx="0">
                  <c:v>5390</c:v>
                </c:pt>
                <c:pt idx="1">
                  <c:v>5384</c:v>
                </c:pt>
                <c:pt idx="2">
                  <c:v>5410</c:v>
                </c:pt>
                <c:pt idx="3">
                  <c:v>5469</c:v>
                </c:pt>
                <c:pt idx="4">
                  <c:v>5494</c:v>
                </c:pt>
                <c:pt idx="5">
                  <c:v>5496</c:v>
                </c:pt>
                <c:pt idx="6">
                  <c:v>5522</c:v>
                </c:pt>
                <c:pt idx="7">
                  <c:v>5526</c:v>
                </c:pt>
                <c:pt idx="8">
                  <c:v>5563</c:v>
                </c:pt>
                <c:pt idx="9">
                  <c:v>5585</c:v>
                </c:pt>
                <c:pt idx="10">
                  <c:v>5630</c:v>
                </c:pt>
                <c:pt idx="11">
                  <c:v>5610</c:v>
                </c:pt>
                <c:pt idx="12">
                  <c:v>5650</c:v>
                </c:pt>
                <c:pt idx="13">
                  <c:v>5616</c:v>
                </c:pt>
                <c:pt idx="14">
                  <c:v>5667</c:v>
                </c:pt>
                <c:pt idx="15">
                  <c:v>5568</c:v>
                </c:pt>
                <c:pt idx="16">
                  <c:v>5606</c:v>
                </c:pt>
                <c:pt idx="17">
                  <c:v>5602</c:v>
                </c:pt>
                <c:pt idx="18">
                  <c:v>5646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4089872"/>
        <c:axId val="-1844101840"/>
      </c:barChart>
      <c:catAx>
        <c:axId val="-1844089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-1844101840"/>
        <c:crosses val="autoZero"/>
        <c:auto val="1"/>
        <c:lblAlgn val="ctr"/>
        <c:lblOffset val="100"/>
        <c:noMultiLvlLbl val="0"/>
      </c:catAx>
      <c:valAx>
        <c:axId val="-184410184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-1844089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5.6062982752551858E-2"/>
          <c:y val="0.21702985901597621"/>
          <c:w val="0.79496223489052431"/>
          <c:h val="0.6271762131933479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'Prognozy ogolne'!$A$19</c:f>
              <c:strCache>
                <c:ptCount val="1"/>
                <c:pt idx="0">
                  <c:v>Ludność - prognoza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solidFill>
                <a:schemeClr val="tx2">
                  <a:lumMod val="75000"/>
                </a:schemeClr>
              </a:solidFill>
            </a:ln>
          </c:spPr>
          <c:invertIfNegative val="0"/>
          <c:cat>
            <c:numRef>
              <c:f>'Prognozy ogolne'!$A$20:$S$20</c:f>
              <c:numCache>
                <c:formatCode>General</c:formatCode>
                <c:ptCount val="1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</c:numCache>
            </c:numRef>
          </c:cat>
          <c:val>
            <c:numRef>
              <c:f>'Prognozy ogolne'!$A$21:$S$21</c:f>
              <c:numCache>
                <c:formatCode>General</c:formatCode>
                <c:ptCount val="19"/>
                <c:pt idx="0">
                  <c:v>5602</c:v>
                </c:pt>
                <c:pt idx="1">
                  <c:v>5646</c:v>
                </c:pt>
                <c:pt idx="2">
                  <c:v>5652</c:v>
                </c:pt>
                <c:pt idx="3" formatCode="0">
                  <c:v>5631</c:v>
                </c:pt>
                <c:pt idx="4" formatCode="0">
                  <c:v>5642.825056302856</c:v>
                </c:pt>
                <c:pt idx="5" formatCode="0">
                  <c:v>5654.6749451321848</c:v>
                </c:pt>
                <c:pt idx="6" formatCode="0">
                  <c:v>5666.549718636099</c:v>
                </c:pt>
                <c:pt idx="7" formatCode="0">
                  <c:v>5678.4494290722214</c:v>
                </c:pt>
                <c:pt idx="8" formatCode="0">
                  <c:v>5690.3741288079163</c:v>
                </c:pt>
                <c:pt idx="9" formatCode="0">
                  <c:v>5702.3238703205197</c:v>
                </c:pt>
                <c:pt idx="10" formatCode="0">
                  <c:v>5714.2987061975682</c:v>
                </c:pt>
                <c:pt idx="11" formatCode="0">
                  <c:v>5726.2986891370329</c:v>
                </c:pt>
                <c:pt idx="12" formatCode="0">
                  <c:v>5738.3238719475494</c:v>
                </c:pt>
                <c:pt idx="13" formatCode="0">
                  <c:v>5750.3743075486509</c:v>
                </c:pt>
                <c:pt idx="14" formatCode="0">
                  <c:v>5762.4500489710026</c:v>
                </c:pt>
                <c:pt idx="15" formatCode="0">
                  <c:v>5774.5511493566319</c:v>
                </c:pt>
                <c:pt idx="16" formatCode="0">
                  <c:v>5786.6776619591656</c:v>
                </c:pt>
                <c:pt idx="17" formatCode="0">
                  <c:v>5798.8296401440612</c:v>
                </c:pt>
                <c:pt idx="18" formatCode="0">
                  <c:v>5811.0071373888441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4093680"/>
        <c:axId val="-1844100752"/>
      </c:barChart>
      <c:catAx>
        <c:axId val="-1844093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844100752"/>
        <c:crosses val="autoZero"/>
        <c:auto val="1"/>
        <c:lblAlgn val="ctr"/>
        <c:lblOffset val="100"/>
        <c:noMultiLvlLbl val="0"/>
      </c:catAx>
      <c:valAx>
        <c:axId val="-18441007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440936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679939046403655E-2"/>
          <c:y val="5.1400422942669603E-2"/>
          <c:w val="0.7773749653672748"/>
          <c:h val="0.78673042002016191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ogolne'!$A$35</c:f>
              <c:strCache>
                <c:ptCount val="1"/>
                <c:pt idx="0">
                  <c:v>Powierzchnia użytkowa mieszkań- wielolecie</c:v>
                </c:pt>
              </c:strCache>
            </c:strRef>
          </c:tx>
          <c:invertIfNegative val="0"/>
          <c:cat>
            <c:numRef>
              <c:f>'Prognozy ogolne'!$A$36:$S$36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 formatCode="0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 formatCode="0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 formatCode="0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 formatCode="0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'Prognozy ogolne'!$A$37:$S$37</c:f>
              <c:numCache>
                <c:formatCode>General</c:formatCode>
                <c:ptCount val="19"/>
                <c:pt idx="0">
                  <c:v>129328</c:v>
                </c:pt>
                <c:pt idx="1">
                  <c:v>129906</c:v>
                </c:pt>
                <c:pt idx="2">
                  <c:v>131103</c:v>
                </c:pt>
                <c:pt idx="3">
                  <c:v>133213</c:v>
                </c:pt>
                <c:pt idx="4">
                  <c:v>133619</c:v>
                </c:pt>
                <c:pt idx="5">
                  <c:v>134002</c:v>
                </c:pt>
                <c:pt idx="6">
                  <c:v>135158</c:v>
                </c:pt>
                <c:pt idx="7">
                  <c:v>161350</c:v>
                </c:pt>
                <c:pt idx="8">
                  <c:v>164771</c:v>
                </c:pt>
                <c:pt idx="9">
                  <c:v>166296</c:v>
                </c:pt>
                <c:pt idx="10">
                  <c:v>167396</c:v>
                </c:pt>
                <c:pt idx="11">
                  <c:v>168549</c:v>
                </c:pt>
                <c:pt idx="12">
                  <c:v>170158</c:v>
                </c:pt>
                <c:pt idx="13">
                  <c:v>172676</c:v>
                </c:pt>
                <c:pt idx="14">
                  <c:v>174291</c:v>
                </c:pt>
                <c:pt idx="15">
                  <c:v>187743</c:v>
                </c:pt>
                <c:pt idx="16">
                  <c:v>188965</c:v>
                </c:pt>
                <c:pt idx="17">
                  <c:v>189966</c:v>
                </c:pt>
                <c:pt idx="18">
                  <c:v>191893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4093136"/>
        <c:axId val="-1844094224"/>
      </c:barChart>
      <c:catAx>
        <c:axId val="-1844093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844094224"/>
        <c:crosses val="autoZero"/>
        <c:auto val="1"/>
        <c:lblAlgn val="ctr"/>
        <c:lblOffset val="100"/>
        <c:noMultiLvlLbl val="0"/>
      </c:catAx>
      <c:valAx>
        <c:axId val="-18440942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440931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638350390825057"/>
          <c:y val="0.16348679781829883"/>
          <c:w val="0.14561948500088162"/>
          <c:h val="0.46438029704498379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6.1479519017680763E-2"/>
          <c:y val="0.21372348028701507"/>
          <c:w val="0.77684221534886411"/>
          <c:h val="0.668964376503766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ogolne'!$A$52</c:f>
              <c:strCache>
                <c:ptCount val="1"/>
                <c:pt idx="0">
                  <c:v>Powierzchnia użytkowa mieszkań- prognoza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>
              <a:solidFill>
                <a:schemeClr val="accent3">
                  <a:lumMod val="50000"/>
                </a:schemeClr>
              </a:solidFill>
            </a:ln>
          </c:spPr>
          <c:invertIfNegative val="0"/>
          <c:cat>
            <c:numRef>
              <c:f>'Prognozy ogolne'!$A$53:$S$53</c:f>
              <c:numCache>
                <c:formatCode>General</c:formatCode>
                <c:ptCount val="1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</c:numCache>
            </c:numRef>
          </c:cat>
          <c:val>
            <c:numRef>
              <c:f>'Prognozy ogolne'!$A$54:$S$54</c:f>
              <c:numCache>
                <c:formatCode>General</c:formatCode>
                <c:ptCount val="19"/>
                <c:pt idx="0">
                  <c:v>189966</c:v>
                </c:pt>
                <c:pt idx="1">
                  <c:v>191893</c:v>
                </c:pt>
                <c:pt idx="2">
                  <c:v>193858</c:v>
                </c:pt>
                <c:pt idx="3">
                  <c:v>195276.40054210287</c:v>
                </c:pt>
                <c:pt idx="4">
                  <c:v>196705.17909335592</c:v>
                </c:pt>
                <c:pt idx="5">
                  <c:v>198144.41158652338</c:v>
                </c:pt>
                <c:pt idx="6">
                  <c:v>199594.17450994661</c:v>
                </c:pt>
                <c:pt idx="7">
                  <c:v>201054.54491160906</c:v>
                </c:pt>
                <c:pt idx="8">
                  <c:v>202525.60040323113</c:v>
                </c:pt>
                <c:pt idx="9">
                  <c:v>204007.41916439473</c:v>
                </c:pt>
                <c:pt idx="10">
                  <c:v>205500.07994669818</c:v>
                </c:pt>
                <c:pt idx="11">
                  <c:v>207003.66207794155</c:v>
                </c:pt>
                <c:pt idx="12">
                  <c:v>208518.24546634249</c:v>
                </c:pt>
                <c:pt idx="13">
                  <c:v>210043.91060478298</c:v>
                </c:pt>
                <c:pt idx="14">
                  <c:v>211580.73857508719</c:v>
                </c:pt>
                <c:pt idx="15">
                  <c:v>213128.81105233048</c:v>
                </c:pt>
                <c:pt idx="16">
                  <c:v>214688.21030918017</c:v>
                </c:pt>
                <c:pt idx="17">
                  <c:v>216259.01922026786</c:v>
                </c:pt>
                <c:pt idx="18">
                  <c:v>217841.32126659385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4360688"/>
        <c:axId val="-1844356336"/>
      </c:barChart>
      <c:catAx>
        <c:axId val="-18443606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844356336"/>
        <c:crosses val="autoZero"/>
        <c:auto val="1"/>
        <c:lblAlgn val="ctr"/>
        <c:lblOffset val="100"/>
        <c:noMultiLvlLbl val="0"/>
      </c:catAx>
      <c:valAx>
        <c:axId val="-1844356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443606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630680877444409"/>
          <c:y val="0.23306391847244212"/>
          <c:w val="0.14570811681765655"/>
          <c:h val="0.52866570653710665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8164464054385764E-2"/>
          <c:y val="0.22940492135448864"/>
          <c:w val="0.78837652279043202"/>
          <c:h val="0.58551272632549356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ogolne'!$A$70:$S$70</c:f>
              <c:strCache>
                <c:ptCount val="19"/>
                <c:pt idx="0">
                  <c:v>Podmioty gospodarki narodowej- wielolecie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cat>
            <c:numRef>
              <c:f>'Prognozy ogolne'!$A$71:$S$71</c:f>
              <c:numCache>
                <c:formatCode>General</c:formatCode>
                <c:ptCount val="19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 formatCode="0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 formatCode="0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 formatCode="0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 formatCode="0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</c:numCache>
            </c:numRef>
          </c:cat>
          <c:val>
            <c:numRef>
              <c:f>'Prognozy ogolne'!$A$72:$S$72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418</c:v>
                </c:pt>
                <c:pt idx="8">
                  <c:v>417</c:v>
                </c:pt>
                <c:pt idx="9">
                  <c:v>395</c:v>
                </c:pt>
                <c:pt idx="10">
                  <c:v>396</c:v>
                </c:pt>
                <c:pt idx="11">
                  <c:v>414</c:v>
                </c:pt>
                <c:pt idx="12">
                  <c:v>425</c:v>
                </c:pt>
                <c:pt idx="13">
                  <c:v>422</c:v>
                </c:pt>
                <c:pt idx="14">
                  <c:v>442</c:v>
                </c:pt>
                <c:pt idx="15">
                  <c:v>470</c:v>
                </c:pt>
                <c:pt idx="16">
                  <c:v>468</c:v>
                </c:pt>
                <c:pt idx="17">
                  <c:v>476</c:v>
                </c:pt>
                <c:pt idx="18">
                  <c:v>498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4361232"/>
        <c:axId val="-1844359056"/>
      </c:barChart>
      <c:catAx>
        <c:axId val="-1844361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844359056"/>
        <c:crosses val="autoZero"/>
        <c:auto val="1"/>
        <c:lblAlgn val="ctr"/>
        <c:lblOffset val="100"/>
        <c:noMultiLvlLbl val="0"/>
      </c:catAx>
      <c:valAx>
        <c:axId val="-1844359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443612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4854553048939196"/>
          <c:y val="0.25709397966893333"/>
          <c:w val="0.14343951237122926"/>
          <c:h val="0.48567595645305311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4.7948967970844587E-2"/>
          <c:y val="0.22663339450288328"/>
          <c:w val="0.80099223826283861"/>
          <c:h val="0.58067864520861445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'Prognozy ogolne'!$A$87:$S$87</c:f>
              <c:strCache>
                <c:ptCount val="19"/>
                <c:pt idx="0">
                  <c:v>Podmioty gospodarki narodowej- prognoza</c:v>
                </c:pt>
              </c:strCache>
            </c:strRef>
          </c:tx>
          <c:spPr>
            <a:solidFill>
              <a:schemeClr val="accent4">
                <a:lumMod val="75000"/>
              </a:schemeClr>
            </a:solidFill>
            <a:ln>
              <a:solidFill>
                <a:schemeClr val="accent4">
                  <a:lumMod val="75000"/>
                </a:schemeClr>
              </a:solidFill>
            </a:ln>
          </c:spPr>
          <c:invertIfNegative val="0"/>
          <c:cat>
            <c:numRef>
              <c:f>'Prognozy ogolne'!$A$88:$S$88</c:f>
              <c:numCache>
                <c:formatCode>General</c:formatCode>
                <c:ptCount val="19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  <c:pt idx="12">
                  <c:v>2024</c:v>
                </c:pt>
                <c:pt idx="13">
                  <c:v>2025</c:v>
                </c:pt>
                <c:pt idx="14">
                  <c:v>2026</c:v>
                </c:pt>
                <c:pt idx="15">
                  <c:v>2027</c:v>
                </c:pt>
                <c:pt idx="16">
                  <c:v>2028</c:v>
                </c:pt>
                <c:pt idx="17">
                  <c:v>2029</c:v>
                </c:pt>
                <c:pt idx="18">
                  <c:v>2030</c:v>
                </c:pt>
              </c:numCache>
            </c:numRef>
          </c:cat>
          <c:val>
            <c:numRef>
              <c:f>'Prognozy ogolne'!$A$89:$S$89</c:f>
              <c:numCache>
                <c:formatCode>General</c:formatCode>
                <c:ptCount val="19"/>
                <c:pt idx="0">
                  <c:v>476</c:v>
                </c:pt>
                <c:pt idx="1">
                  <c:v>498</c:v>
                </c:pt>
                <c:pt idx="2">
                  <c:v>503</c:v>
                </c:pt>
                <c:pt idx="3" formatCode="0">
                  <c:v>512</c:v>
                </c:pt>
                <c:pt idx="4" formatCode="0">
                  <c:v>521.16103379721665</c:v>
                </c:pt>
                <c:pt idx="5" formatCode="0">
                  <c:v>530.48598271207732</c:v>
                </c:pt>
                <c:pt idx="6" formatCode="0">
                  <c:v>539.97777961945042</c:v>
                </c:pt>
                <c:pt idx="7" formatCode="0">
                  <c:v>549.63940987109061</c:v>
                </c:pt>
                <c:pt idx="8" formatCode="0">
                  <c:v>559.47391223458919</c:v>
                </c:pt>
                <c:pt idx="9" formatCode="0">
                  <c:v>569.48437984912459</c:v>
                </c:pt>
                <c:pt idx="10" formatCode="0">
                  <c:v>579.6739611983138</c:v>
                </c:pt>
                <c:pt idx="11" formatCode="0">
                  <c:v>590.04586110047057</c:v>
                </c:pt>
                <c:pt idx="12" formatCode="0">
                  <c:v>600.60334171658235</c:v>
                </c:pt>
                <c:pt idx="13" formatCode="0">
                  <c:v>611.34972357632239</c:v>
                </c:pt>
                <c:pt idx="14" formatCode="0">
                  <c:v>622.28838662241958</c:v>
                </c:pt>
                <c:pt idx="15" formatCode="0">
                  <c:v>633.4227712737154</c:v>
                </c:pt>
                <c:pt idx="16" formatCode="0">
                  <c:v>644.75637950724115</c:v>
                </c:pt>
                <c:pt idx="17" formatCode="0">
                  <c:v>656.29277595965698</c:v>
                </c:pt>
                <c:pt idx="18" formatCode="0">
                  <c:v>668.03558904839838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44357968"/>
        <c:axId val="-1844355248"/>
      </c:barChart>
      <c:catAx>
        <c:axId val="-18443579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844355248"/>
        <c:crosses val="autoZero"/>
        <c:auto val="1"/>
        <c:lblAlgn val="ctr"/>
        <c:lblOffset val="100"/>
        <c:noMultiLvlLbl val="0"/>
      </c:catAx>
      <c:valAx>
        <c:axId val="-1844355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-18443579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85694043493410699"/>
          <c:y val="0.30098542394531641"/>
          <c:w val="0.13643040510060606"/>
          <c:h val="0.42686652495268046"/>
        </c:manualLayout>
      </c:layout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'Prognoza transport suma'!#REF!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numRef>
              <c:f>'Prognoza transport suma'!$B$2:$H$2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'Prognoza transport suma'!$A$4</c:f>
              <c:strCache>
                <c:ptCount val="1"/>
                <c:pt idx="0">
                  <c:v>Transport lokalny</c:v>
                </c:pt>
              </c:strCache>
            </c:strRef>
          </c:tx>
          <c:invertIfNegative val="0"/>
          <c:cat>
            <c:numRef>
              <c:f>'Prognoza transport suma'!$B$2:$H$2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suma'!$B$4:$H$4</c:f>
              <c:numCache>
                <c:formatCode>0</c:formatCode>
                <c:ptCount val="7"/>
                <c:pt idx="0">
                  <c:v>19879.013356553864</c:v>
                </c:pt>
                <c:pt idx="1">
                  <c:v>20351.97697096537</c:v>
                </c:pt>
                <c:pt idx="2">
                  <c:v>21602.366188829368</c:v>
                </c:pt>
                <c:pt idx="3">
                  <c:v>23059.118875203105</c:v>
                </c:pt>
                <c:pt idx="4">
                  <c:v>24614.107484933909</c:v>
                </c:pt>
                <c:pt idx="5">
                  <c:v>26273.956544427721</c:v>
                </c:pt>
                <c:pt idx="6">
                  <c:v>28045.737304146245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-1844356880"/>
        <c:axId val="-1823695616"/>
      </c:barChart>
      <c:catAx>
        <c:axId val="-18443568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-1823695616"/>
        <c:crosses val="autoZero"/>
        <c:auto val="1"/>
        <c:lblAlgn val="ctr"/>
        <c:lblOffset val="100"/>
        <c:noMultiLvlLbl val="0"/>
      </c:catAx>
      <c:valAx>
        <c:axId val="-1823695616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-1844356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'Prognoza transport suma'!#REF!</c:f>
              <c:strCache>
                <c:ptCount val="1"/>
                <c:pt idx="0">
                  <c:v>#REF!</c:v>
                </c:pt>
              </c:strCache>
            </c:strRef>
          </c:tx>
          <c:invertIfNegative val="0"/>
          <c:cat>
            <c:numRef>
              <c:f>'Prognoza transport suma'!$B$23:$H$23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'Prognoza transport suma'!$A$25</c:f>
              <c:strCache>
                <c:ptCount val="1"/>
                <c:pt idx="0">
                  <c:v>Transport lokalny</c:v>
                </c:pt>
              </c:strCache>
            </c:strRef>
          </c:tx>
          <c:invertIfNegative val="0"/>
          <c:cat>
            <c:numRef>
              <c:f>'Prognoza transport suma'!$B$23:$H$23</c:f>
              <c:numCache>
                <c:formatCode>General</c:formatCode>
                <c:ptCount val="7"/>
                <c:pt idx="0">
                  <c:v>2010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</c:numCache>
            </c:numRef>
          </c:cat>
          <c:val>
            <c:numRef>
              <c:f>'Prognoza transport suma'!$B$25:$H$25</c:f>
              <c:numCache>
                <c:formatCode>0</c:formatCode>
                <c:ptCount val="7"/>
                <c:pt idx="0">
                  <c:v>6146.4324567882777</c:v>
                </c:pt>
                <c:pt idx="1">
                  <c:v>5144.2600818019446</c:v>
                </c:pt>
                <c:pt idx="2">
                  <c:v>5460.31425920937</c:v>
                </c:pt>
                <c:pt idx="3">
                  <c:v>5828.5298239312224</c:v>
                </c:pt>
                <c:pt idx="4">
                  <c:v>6221.5759562114836</c:v>
                </c:pt>
                <c:pt idx="5">
                  <c:v>6641.127102065866</c:v>
                </c:pt>
                <c:pt idx="6">
                  <c:v>7088.970623554108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-1823694528"/>
        <c:axId val="-1823695072"/>
      </c:barChart>
      <c:catAx>
        <c:axId val="-182369452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crossAx val="-1823695072"/>
        <c:crosses val="autoZero"/>
        <c:auto val="1"/>
        <c:lblAlgn val="ctr"/>
        <c:lblOffset val="100"/>
        <c:noMultiLvlLbl val="0"/>
      </c:catAx>
      <c:valAx>
        <c:axId val="-1823695072"/>
        <c:scaling>
          <c:orientation val="minMax"/>
        </c:scaling>
        <c:delete val="0"/>
        <c:axPos val="b"/>
        <c:majorGridlines/>
        <c:numFmt formatCode="General" sourceLinked="1"/>
        <c:majorTickMark val="none"/>
        <c:minorTickMark val="none"/>
        <c:tickLblPos val="nextTo"/>
        <c:crossAx val="-1823694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Zużycie energii </a:t>
            </a:r>
            <a:r>
              <a:rPr lang="pl-PL"/>
              <a:t>w roku 2020 w wyniku podjęcia</a:t>
            </a:r>
            <a:r>
              <a:rPr lang="pl-PL" baseline="0"/>
              <a:t> </a:t>
            </a:r>
            <a:r>
              <a:rPr lang="pl-PL"/>
              <a:t>działań</a:t>
            </a:r>
            <a:r>
              <a:rPr lang="pl-PL" baseline="0"/>
              <a:t> </a:t>
            </a:r>
            <a:r>
              <a:rPr lang="en-US"/>
              <a:t>[MWh/rok]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7688585566277866E-2"/>
          <c:y val="0.1603784634766513"/>
          <c:w val="0.89798180575704989"/>
          <c:h val="0.6902565360637499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'Prognozy podsumowanie'!$H$1:$H$2</c:f>
              <c:strCache>
                <c:ptCount val="2"/>
                <c:pt idx="0">
                  <c:v>Zużycie energii</c:v>
                </c:pt>
                <c:pt idx="1">
                  <c:v>[MWh/rok]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rgbClr val="7030A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B0F0"/>
              </a:solidFill>
            </c:spPr>
          </c:dPt>
          <c:dLbls>
            <c:dLbl>
              <c:idx val="0"/>
              <c:layout>
                <c:manualLayout>
                  <c:x val="4.3216763203954506E-3"/>
                  <c:y val="-7.248250942678140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2.1608381601976958E-3"/>
                  <c:y val="-6.1037902675184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'Prognozy podsumowanie'!$A$4:$A$8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podsumowanie'!$H$4:$H$8</c:f>
              <c:numCache>
                <c:formatCode>#,##0.00</c:formatCode>
                <c:ptCount val="5"/>
                <c:pt idx="0">
                  <c:v>903.54737635712013</c:v>
                </c:pt>
                <c:pt idx="1">
                  <c:v>59306.414248608075</c:v>
                </c:pt>
                <c:pt idx="2">
                  <c:v>27051.786636318553</c:v>
                </c:pt>
                <c:pt idx="3">
                  <c:v>154.26004</c:v>
                </c:pt>
                <c:pt idx="4">
                  <c:v>74203.075539601137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23690176"/>
        <c:axId val="-1823693440"/>
      </c:barChart>
      <c:catAx>
        <c:axId val="-1823690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823693440"/>
        <c:crosses val="autoZero"/>
        <c:auto val="1"/>
        <c:lblAlgn val="ctr"/>
        <c:lblOffset val="100"/>
        <c:noMultiLvlLbl val="0"/>
      </c:catAx>
      <c:valAx>
        <c:axId val="-182369344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-18236901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l-PL"/>
              <a:t>Emisja CO2 w roku 2020 w wyniku podjęcia działań [ Mg CO2 ]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'Prognozy podsumowanie'!$H$48:$H$49</c:f>
              <c:strCache>
                <c:ptCount val="2"/>
                <c:pt idx="0">
                  <c:v>Emisja CO2</c:v>
                </c:pt>
                <c:pt idx="1">
                  <c:v>Mg CO2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accent3">
                  <a:lumMod val="75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rgbClr val="7030A0"/>
              </a:solidFill>
            </c:spPr>
          </c:dPt>
          <c:dPt>
            <c:idx val="4"/>
            <c:invertIfNegative val="0"/>
            <c:bubble3D val="0"/>
            <c:spPr>
              <a:solidFill>
                <a:srgbClr val="00B0F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'Prognozy podsumowanie'!$A$51:$A$55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podsumowanie'!$H$51:$H$55</c:f>
              <c:numCache>
                <c:formatCode>0.00</c:formatCode>
                <c:ptCount val="5"/>
                <c:pt idx="0">
                  <c:v>277.34523102207601</c:v>
                </c:pt>
                <c:pt idx="1">
                  <c:v>21623.55951480251</c:v>
                </c:pt>
                <c:pt idx="2">
                  <c:v>6781.649000714694</c:v>
                </c:pt>
                <c:pt idx="3">
                  <c:v>125.25915248000001</c:v>
                </c:pt>
                <c:pt idx="4">
                  <c:v>20426.670209834469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-1823696704"/>
        <c:axId val="-1823700512"/>
      </c:barChart>
      <c:catAx>
        <c:axId val="-1823696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-1823700512"/>
        <c:crosses val="autoZero"/>
        <c:auto val="1"/>
        <c:lblAlgn val="ctr"/>
        <c:lblOffset val="100"/>
        <c:noMultiLvlLbl val="0"/>
      </c:catAx>
      <c:valAx>
        <c:axId val="-182370051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-18236967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995544203652544"/>
          <c:y val="0.17090500575853573"/>
          <c:w val="0.63240341663377708"/>
          <c:h val="0.7090905163943352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'Prognozy podsumowanie'!$A$4</c:f>
              <c:strCache>
                <c:ptCount val="1"/>
                <c:pt idx="0">
                  <c:v>Obiekty publiczne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podsumowanie'!$B$4:$D$4</c:f>
              <c:numCache>
                <c:formatCode>#,##0.00</c:formatCode>
                <c:ptCount val="3"/>
                <c:pt idx="0">
                  <c:v>1325.9892353279999</c:v>
                </c:pt>
                <c:pt idx="1">
                  <c:v>1151.2604445440002</c:v>
                </c:pt>
                <c:pt idx="2">
                  <c:v>1151.2604445440002</c:v>
                </c:pt>
              </c:numCache>
            </c:numRef>
          </c:val>
        </c:ser>
        <c:ser>
          <c:idx val="1"/>
          <c:order val="1"/>
          <c:tx>
            <c:strRef>
              <c:f>'Prognozy podsumowanie'!$A$5</c:f>
              <c:strCache>
                <c:ptCount val="1"/>
                <c:pt idx="0">
                  <c:v>Obiekty mieszkalne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podsumowanie'!$B$5:$D$5</c:f>
              <c:numCache>
                <c:formatCode>#,##0.00</c:formatCode>
                <c:ptCount val="3"/>
                <c:pt idx="0">
                  <c:v>78785.983809559504</c:v>
                </c:pt>
                <c:pt idx="1">
                  <c:v>81493.652748475943</c:v>
                </c:pt>
                <c:pt idx="2">
                  <c:v>82352.934338835665</c:v>
                </c:pt>
              </c:numCache>
            </c:numRef>
          </c:val>
        </c:ser>
        <c:ser>
          <c:idx val="2"/>
          <c:order val="2"/>
          <c:tx>
            <c:strRef>
              <c:f>'Prognozy podsumowanie'!$A$6</c:f>
              <c:strCache>
                <c:ptCount val="1"/>
                <c:pt idx="0">
                  <c:v>Transport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podsumowanie'!$B$6:$D$6</c:f>
              <c:numCache>
                <c:formatCode>#,##0.00</c:formatCode>
                <c:ptCount val="3"/>
                <c:pt idx="0">
                  <c:v>19879.013356553864</c:v>
                </c:pt>
                <c:pt idx="1">
                  <c:v>20351.97697096537</c:v>
                </c:pt>
                <c:pt idx="2">
                  <c:v>28045.737304146245</c:v>
                </c:pt>
              </c:numCache>
            </c:numRef>
          </c:val>
        </c:ser>
        <c:ser>
          <c:idx val="3"/>
          <c:order val="3"/>
          <c:tx>
            <c:strRef>
              <c:f>'Prognozy podsumowanie'!$A$7</c:f>
              <c:strCache>
                <c:ptCount val="1"/>
                <c:pt idx="0">
                  <c:v>Oświetlenie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podsumowanie'!$B$7:$D$7</c:f>
              <c:numCache>
                <c:formatCode>#,##0.00</c:formatCode>
                <c:ptCount val="3"/>
                <c:pt idx="0">
                  <c:v>280.47280000000001</c:v>
                </c:pt>
                <c:pt idx="1">
                  <c:v>280.47280000000001</c:v>
                </c:pt>
                <c:pt idx="2">
                  <c:v>280.47280000000001</c:v>
                </c:pt>
              </c:numCache>
            </c:numRef>
          </c:val>
        </c:ser>
        <c:ser>
          <c:idx val="4"/>
          <c:order val="4"/>
          <c:tx>
            <c:strRef>
              <c:f>'Prognozy podsumowanie'!$A$8</c:f>
              <c:strCache>
                <c:ptCount val="1"/>
                <c:pt idx="0">
                  <c:v>Usługi, handel, przemysł</c:v>
                </c:pt>
              </c:strCache>
            </c:strRef>
          </c:tx>
          <c:spPr>
            <a:solidFill>
              <a:srgbClr val="00B0F0"/>
            </a:solidFill>
          </c:spPr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podsumowanie'!$B$8:$D$8</c:f>
              <c:numCache>
                <c:formatCode>#,##0.00</c:formatCode>
                <c:ptCount val="3"/>
                <c:pt idx="0">
                  <c:v>65794.412169923075</c:v>
                </c:pt>
                <c:pt idx="1">
                  <c:v>71117.435269907699</c:v>
                </c:pt>
                <c:pt idx="2">
                  <c:v>77711.620583096519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823689632"/>
        <c:axId val="-1823697248"/>
      </c:barChart>
      <c:catAx>
        <c:axId val="-18236896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1823697248"/>
        <c:crosses val="autoZero"/>
        <c:auto val="1"/>
        <c:lblAlgn val="ctr"/>
        <c:lblOffset val="100"/>
        <c:noMultiLvlLbl val="0"/>
      </c:catAx>
      <c:valAx>
        <c:axId val="-1823697248"/>
        <c:scaling>
          <c:orientation val="minMax"/>
        </c:scaling>
        <c:delete val="0"/>
        <c:axPos val="b"/>
        <c:majorGridlines/>
        <c:numFmt formatCode="#,##0.00" sourceLinked="1"/>
        <c:majorTickMark val="out"/>
        <c:minorTickMark val="none"/>
        <c:tickLblPos val="nextTo"/>
        <c:crossAx val="-182368963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11262322601694"/>
          <c:y val="0.32515615603738462"/>
          <c:w val="0.21172559148658318"/>
          <c:h val="0.3575978706037369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pl-PL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2996636125917382E-2"/>
          <c:y val="3.955091339253098E-2"/>
          <c:w val="0.72496150490214606"/>
          <c:h val="0.8404447640352021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'Prognozy podsumowanie'!$A$51</c:f>
              <c:strCache>
                <c:ptCount val="1"/>
                <c:pt idx="0">
                  <c:v>Obiekty publiczne</c:v>
                </c:pt>
              </c:strCache>
            </c:strRef>
          </c:tx>
          <c:spPr>
            <a:solidFill>
              <a:srgbClr val="FFC000"/>
            </a:solidFill>
          </c:spPr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podsumowanie'!$B$51:$D$51</c:f>
              <c:numCache>
                <c:formatCode>#,##0.00</c:formatCode>
                <c:ptCount val="3"/>
                <c:pt idx="0">
                  <c:v>426.23682345378398</c:v>
                </c:pt>
                <c:pt idx="1">
                  <c:v>332.26536565504006</c:v>
                </c:pt>
                <c:pt idx="2">
                  <c:v>332.26536565504006</c:v>
                </c:pt>
              </c:numCache>
            </c:numRef>
          </c:val>
        </c:ser>
        <c:ser>
          <c:idx val="1"/>
          <c:order val="1"/>
          <c:tx>
            <c:strRef>
              <c:f>'Prognozy podsumowanie'!$A$52</c:f>
              <c:strCache>
                <c:ptCount val="1"/>
                <c:pt idx="0">
                  <c:v>Obiekty mieszkalne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podsumowanie'!$B$52:$D$52</c:f>
              <c:numCache>
                <c:formatCode>#,##0.00</c:formatCode>
                <c:ptCount val="3"/>
                <c:pt idx="0">
                  <c:v>31634.410211168979</c:v>
                </c:pt>
                <c:pt idx="1">
                  <c:v>27672.802437568811</c:v>
                </c:pt>
                <c:pt idx="2">
                  <c:v>27964.588716454309</c:v>
                </c:pt>
              </c:numCache>
            </c:numRef>
          </c:val>
        </c:ser>
        <c:ser>
          <c:idx val="2"/>
          <c:order val="2"/>
          <c:tx>
            <c:strRef>
              <c:f>'Prognozy podsumowanie'!$A$53</c:f>
              <c:strCache>
                <c:ptCount val="1"/>
                <c:pt idx="0">
                  <c:v>Transport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podsumowanie'!$B$53:$D$53</c:f>
              <c:numCache>
                <c:formatCode>#,##0.00</c:formatCode>
                <c:ptCount val="3"/>
                <c:pt idx="0">
                  <c:v>6146.4324567882777</c:v>
                </c:pt>
                <c:pt idx="1">
                  <c:v>5144.2600818019446</c:v>
                </c:pt>
                <c:pt idx="2">
                  <c:v>7088.970623554108</c:v>
                </c:pt>
              </c:numCache>
            </c:numRef>
          </c:val>
        </c:ser>
        <c:ser>
          <c:idx val="3"/>
          <c:order val="3"/>
          <c:tx>
            <c:strRef>
              <c:f>'Prognozy podsumowanie'!$A$54</c:f>
              <c:strCache>
                <c:ptCount val="1"/>
                <c:pt idx="0">
                  <c:v>Oświetlenie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podsumowanie'!$B$54:$D$54</c:f>
              <c:numCache>
                <c:formatCode>#,##0.00</c:formatCode>
                <c:ptCount val="3"/>
                <c:pt idx="0">
                  <c:v>227.74391360000001</c:v>
                </c:pt>
                <c:pt idx="1">
                  <c:v>227.74391360000001</c:v>
                </c:pt>
                <c:pt idx="2">
                  <c:v>227.74391360000001</c:v>
                </c:pt>
              </c:numCache>
            </c:numRef>
          </c:val>
        </c:ser>
        <c:ser>
          <c:idx val="4"/>
          <c:order val="4"/>
          <c:tx>
            <c:strRef>
              <c:f>'Prognozy podsumowanie'!$A$55</c:f>
              <c:strCache>
                <c:ptCount val="1"/>
                <c:pt idx="0">
                  <c:v>Usługi, handel, przemysł</c:v>
                </c:pt>
              </c:strCache>
            </c:strRef>
          </c:tx>
          <c:invertIfNegative val="0"/>
          <c:cat>
            <c:strRef>
              <c:f>'Prognozy podsumowanie'!$B$3:$D$3</c:f>
              <c:strCache>
                <c:ptCount val="3"/>
                <c:pt idx="0">
                  <c:v>2010</c:v>
                </c:pt>
                <c:pt idx="1">
                  <c:v>2015</c:v>
                </c:pt>
                <c:pt idx="2">
                  <c:v>2020- wariant bazowy BaU bez podjęcia działań Planu</c:v>
                </c:pt>
              </c:strCache>
            </c:strRef>
          </c:cat>
          <c:val>
            <c:numRef>
              <c:f>'Prognozy podsumowanie'!$B$55:$D$55</c:f>
              <c:numCache>
                <c:formatCode>#,##0.00</c:formatCode>
                <c:ptCount val="3"/>
                <c:pt idx="0">
                  <c:v>24149.274517365553</c:v>
                </c:pt>
                <c:pt idx="1">
                  <c:v>21545.452290244924</c:v>
                </c:pt>
                <c:pt idx="2">
                  <c:v>23543.200163451205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-1823687456"/>
        <c:axId val="-1823690720"/>
      </c:barChart>
      <c:catAx>
        <c:axId val="-182368745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-1823690720"/>
        <c:crosses val="autoZero"/>
        <c:auto val="1"/>
        <c:lblAlgn val="ctr"/>
        <c:lblOffset val="100"/>
        <c:noMultiLvlLbl val="0"/>
      </c:catAx>
      <c:valAx>
        <c:axId val="-1823690720"/>
        <c:scaling>
          <c:orientation val="minMax"/>
        </c:scaling>
        <c:delete val="0"/>
        <c:axPos val="b"/>
        <c:majorGridlines/>
        <c:numFmt formatCode="#,##0.00" sourceLinked="1"/>
        <c:majorTickMark val="out"/>
        <c:minorTickMark val="none"/>
        <c:tickLblPos val="nextTo"/>
        <c:crossAx val="-18236874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8611262322601694"/>
          <c:y val="0.32515615603738462"/>
          <c:w val="0.21172559148658318"/>
          <c:h val="0.35759787060373693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pl-PL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'Prognozy podsumowanie'!$B$1:$D$1</c:f>
              <c:strCache>
                <c:ptCount val="1"/>
                <c:pt idx="0">
                  <c:v>Zużycie energii</c:v>
                </c:pt>
              </c:strCache>
            </c:strRef>
          </c:tx>
          <c:explosion val="25"/>
          <c:dPt>
            <c:idx val="0"/>
            <c:bubble3D val="0"/>
            <c:spPr>
              <a:solidFill>
                <a:srgbClr val="FFC000"/>
              </a:solidFill>
            </c:spPr>
          </c:dPt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'Prognozy podsumowanie'!$A$4:$A$8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podsumowanie'!$D$4:$D$8</c:f>
              <c:numCache>
                <c:formatCode>#,##0.00</c:formatCode>
                <c:ptCount val="5"/>
                <c:pt idx="0">
                  <c:v>1151.2604445440002</c:v>
                </c:pt>
                <c:pt idx="1">
                  <c:v>82352.934338835665</c:v>
                </c:pt>
                <c:pt idx="2">
                  <c:v>28045.737304146245</c:v>
                </c:pt>
                <c:pt idx="3">
                  <c:v>280.47280000000001</c:v>
                </c:pt>
                <c:pt idx="4">
                  <c:v>77711.620583096519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pl-PL"/>
        </a:p>
      </c:txPr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'Prognozy podsumowanie'!$B$48:$D$48</c:f>
              <c:strCache>
                <c:ptCount val="1"/>
                <c:pt idx="0">
                  <c:v>Emisja CO2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'Prognozy podsumowanie'!$A$51:$A$55</c:f>
              <c:strCache>
                <c:ptCount val="5"/>
                <c:pt idx="0">
                  <c:v>Obiekty publiczne</c:v>
                </c:pt>
                <c:pt idx="1">
                  <c:v>Obiekty mieszkalne</c:v>
                </c:pt>
                <c:pt idx="2">
                  <c:v>Transport</c:v>
                </c:pt>
                <c:pt idx="3">
                  <c:v>Oświetlenie</c:v>
                </c:pt>
                <c:pt idx="4">
                  <c:v>Usługi, handel, przemysł</c:v>
                </c:pt>
              </c:strCache>
            </c:strRef>
          </c:cat>
          <c:val>
            <c:numRef>
              <c:f>'Prognozy podsumowanie'!$D$51:$D$55</c:f>
              <c:numCache>
                <c:formatCode>#,##0.00</c:formatCode>
                <c:ptCount val="5"/>
                <c:pt idx="0">
                  <c:v>332.26536565504006</c:v>
                </c:pt>
                <c:pt idx="1">
                  <c:v>27964.588716454309</c:v>
                </c:pt>
                <c:pt idx="2">
                  <c:v>7088.970623554108</c:v>
                </c:pt>
                <c:pt idx="3">
                  <c:v>227.74391360000001</c:v>
                </c:pt>
                <c:pt idx="4">
                  <c:v>23543.200163451205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pl-PL"/>
        </a:p>
      </c:txPr>
    </c:legend>
    <c:plotVisOnly val="1"/>
    <c:dispBlanksAs val="zero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4" Type="http://schemas.openxmlformats.org/officeDocument/2006/relationships/chart" Target="../charts/chart24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Relationship Id="rId6" Type="http://schemas.openxmlformats.org/officeDocument/2006/relationships/chart" Target="../charts/chart30.xml"/><Relationship Id="rId5" Type="http://schemas.openxmlformats.org/officeDocument/2006/relationships/chart" Target="../charts/chart29.xml"/><Relationship Id="rId4" Type="http://schemas.openxmlformats.org/officeDocument/2006/relationships/chart" Target="../charts/chart28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5.xml"/><Relationship Id="rId2" Type="http://schemas.openxmlformats.org/officeDocument/2006/relationships/chart" Target="../charts/chart34.xml"/><Relationship Id="rId1" Type="http://schemas.openxmlformats.org/officeDocument/2006/relationships/chart" Target="../charts/chart33.xml"/><Relationship Id="rId6" Type="http://schemas.openxmlformats.org/officeDocument/2006/relationships/chart" Target="../charts/chart38.xml"/><Relationship Id="rId5" Type="http://schemas.openxmlformats.org/officeDocument/2006/relationships/chart" Target="../charts/chart37.xml"/><Relationship Id="rId4" Type="http://schemas.openxmlformats.org/officeDocument/2006/relationships/chart" Target="../charts/chart3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721032</xdr:colOff>
      <xdr:row>20</xdr:row>
      <xdr:rowOff>17206</xdr:rowOff>
    </xdr:from>
    <xdr:to>
      <xdr:col>7</xdr:col>
      <xdr:colOff>0</xdr:colOff>
      <xdr:row>35</xdr:row>
      <xdr:rowOff>56535</xdr:rowOff>
    </xdr:to>
    <xdr:graphicFrame macro="">
      <xdr:nvGraphicFramePr>
        <xdr:cNvPr id="4" name="Wykres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696452</xdr:colOff>
      <xdr:row>36</xdr:row>
      <xdr:rowOff>9014</xdr:rowOff>
    </xdr:from>
    <xdr:to>
      <xdr:col>6</xdr:col>
      <xdr:colOff>663678</xdr:colOff>
      <xdr:row>51</xdr:row>
      <xdr:rowOff>48343</xdr:rowOff>
    </xdr:to>
    <xdr:graphicFrame macro="">
      <xdr:nvGraphicFramePr>
        <xdr:cNvPr id="6" name="Wykres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196647</xdr:colOff>
      <xdr:row>20</xdr:row>
      <xdr:rowOff>818</xdr:rowOff>
    </xdr:from>
    <xdr:to>
      <xdr:col>13</xdr:col>
      <xdr:colOff>417872</xdr:colOff>
      <xdr:row>31</xdr:row>
      <xdr:rowOff>114709</xdr:rowOff>
    </xdr:to>
    <xdr:graphicFrame macro="">
      <xdr:nvGraphicFramePr>
        <xdr:cNvPr id="7" name="Wykres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200742</xdr:colOff>
      <xdr:row>31</xdr:row>
      <xdr:rowOff>172882</xdr:rowOff>
    </xdr:from>
    <xdr:to>
      <xdr:col>13</xdr:col>
      <xdr:colOff>426065</xdr:colOff>
      <xdr:row>43</xdr:row>
      <xdr:rowOff>16387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594034</xdr:colOff>
      <xdr:row>1</xdr:row>
      <xdr:rowOff>820</xdr:rowOff>
    </xdr:from>
    <xdr:to>
      <xdr:col>15</xdr:col>
      <xdr:colOff>49162</xdr:colOff>
      <xdr:row>9</xdr:row>
      <xdr:rowOff>106516</xdr:rowOff>
    </xdr:to>
    <xdr:graphicFrame macro="">
      <xdr:nvGraphicFramePr>
        <xdr:cNvPr id="9" name="Wykres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602227</xdr:colOff>
      <xdr:row>9</xdr:row>
      <xdr:rowOff>148306</xdr:rowOff>
    </xdr:from>
    <xdr:to>
      <xdr:col>15</xdr:col>
      <xdr:colOff>49161</xdr:colOff>
      <xdr:row>18</xdr:row>
      <xdr:rowOff>139290</xdr:rowOff>
    </xdr:to>
    <xdr:graphicFrame macro="">
      <xdr:nvGraphicFramePr>
        <xdr:cNvPr id="10" name="Wykres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368300</xdr:colOff>
      <xdr:row>1</xdr:row>
      <xdr:rowOff>107950</xdr:rowOff>
    </xdr:from>
    <xdr:to>
      <xdr:col>7</xdr:col>
      <xdr:colOff>457200</xdr:colOff>
      <xdr:row>29</xdr:row>
      <xdr:rowOff>38100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158750</xdr:rowOff>
    </xdr:from>
    <xdr:to>
      <xdr:col>7</xdr:col>
      <xdr:colOff>533400</xdr:colOff>
      <xdr:row>29</xdr:row>
      <xdr:rowOff>88900</xdr:rowOff>
    </xdr:to>
    <xdr:graphicFrame macro="">
      <xdr:nvGraphicFramePr>
        <xdr:cNvPr id="2" name="Wykres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721032</xdr:colOff>
      <xdr:row>20</xdr:row>
      <xdr:rowOff>17206</xdr:rowOff>
    </xdr:from>
    <xdr:to>
      <xdr:col>7</xdr:col>
      <xdr:colOff>0</xdr:colOff>
      <xdr:row>35</xdr:row>
      <xdr:rowOff>56535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696452</xdr:colOff>
      <xdr:row>36</xdr:row>
      <xdr:rowOff>9014</xdr:rowOff>
    </xdr:from>
    <xdr:to>
      <xdr:col>6</xdr:col>
      <xdr:colOff>663678</xdr:colOff>
      <xdr:row>51</xdr:row>
      <xdr:rowOff>48343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196647</xdr:colOff>
      <xdr:row>20</xdr:row>
      <xdr:rowOff>818</xdr:rowOff>
    </xdr:from>
    <xdr:to>
      <xdr:col>13</xdr:col>
      <xdr:colOff>417872</xdr:colOff>
      <xdr:row>31</xdr:row>
      <xdr:rowOff>114709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200742</xdr:colOff>
      <xdr:row>31</xdr:row>
      <xdr:rowOff>172882</xdr:rowOff>
    </xdr:from>
    <xdr:to>
      <xdr:col>13</xdr:col>
      <xdr:colOff>426065</xdr:colOff>
      <xdr:row>43</xdr:row>
      <xdr:rowOff>16387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159776</xdr:colOff>
      <xdr:row>1</xdr:row>
      <xdr:rowOff>156497</xdr:rowOff>
    </xdr:from>
    <xdr:to>
      <xdr:col>14</xdr:col>
      <xdr:colOff>221226</xdr:colOff>
      <xdr:row>9</xdr:row>
      <xdr:rowOff>262193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163872</xdr:colOff>
      <xdr:row>9</xdr:row>
      <xdr:rowOff>278581</xdr:rowOff>
    </xdr:from>
    <xdr:to>
      <xdr:col>14</xdr:col>
      <xdr:colOff>229420</xdr:colOff>
      <xdr:row>18</xdr:row>
      <xdr:rowOff>106517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721032</xdr:colOff>
      <xdr:row>20</xdr:row>
      <xdr:rowOff>17206</xdr:rowOff>
    </xdr:from>
    <xdr:to>
      <xdr:col>7</xdr:col>
      <xdr:colOff>0</xdr:colOff>
      <xdr:row>35</xdr:row>
      <xdr:rowOff>56535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696452</xdr:colOff>
      <xdr:row>36</xdr:row>
      <xdr:rowOff>9014</xdr:rowOff>
    </xdr:from>
    <xdr:to>
      <xdr:col>6</xdr:col>
      <xdr:colOff>663678</xdr:colOff>
      <xdr:row>51</xdr:row>
      <xdr:rowOff>48343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196647</xdr:colOff>
      <xdr:row>20</xdr:row>
      <xdr:rowOff>818</xdr:rowOff>
    </xdr:from>
    <xdr:to>
      <xdr:col>13</xdr:col>
      <xdr:colOff>417872</xdr:colOff>
      <xdr:row>31</xdr:row>
      <xdr:rowOff>114709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200742</xdr:colOff>
      <xdr:row>31</xdr:row>
      <xdr:rowOff>172882</xdr:rowOff>
    </xdr:from>
    <xdr:to>
      <xdr:col>13</xdr:col>
      <xdr:colOff>426065</xdr:colOff>
      <xdr:row>43</xdr:row>
      <xdr:rowOff>16387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163870</xdr:colOff>
      <xdr:row>0</xdr:row>
      <xdr:rowOff>172884</xdr:rowOff>
    </xdr:from>
    <xdr:to>
      <xdr:col>14</xdr:col>
      <xdr:colOff>221226</xdr:colOff>
      <xdr:row>9</xdr:row>
      <xdr:rowOff>65548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180257</xdr:colOff>
      <xdr:row>9</xdr:row>
      <xdr:rowOff>90949</xdr:rowOff>
    </xdr:from>
    <xdr:to>
      <xdr:col>14</xdr:col>
      <xdr:colOff>245807</xdr:colOff>
      <xdr:row>18</xdr:row>
      <xdr:rowOff>131097</xdr:rowOff>
    </xdr:to>
    <xdr:graphicFrame macro="">
      <xdr:nvGraphicFramePr>
        <xdr:cNvPr id="9" name="Wykres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19</xdr:row>
      <xdr:rowOff>41910</xdr:rowOff>
    </xdr:from>
    <xdr:to>
      <xdr:col>2</xdr:col>
      <xdr:colOff>1623060</xdr:colOff>
      <xdr:row>34</xdr:row>
      <xdr:rowOff>41910</xdr:rowOff>
    </xdr:to>
    <xdr:graphicFrame macro="">
      <xdr:nvGraphicFramePr>
        <xdr:cNvPr id="7" name="Wykres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502920</xdr:colOff>
      <xdr:row>34</xdr:row>
      <xdr:rowOff>80010</xdr:rowOff>
    </xdr:from>
    <xdr:to>
      <xdr:col>2</xdr:col>
      <xdr:colOff>1623060</xdr:colOff>
      <xdr:row>49</xdr:row>
      <xdr:rowOff>80010</xdr:rowOff>
    </xdr:to>
    <xdr:graphicFrame macro="">
      <xdr:nvGraphicFramePr>
        <xdr:cNvPr id="8" name="Wykres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381000</xdr:colOff>
      <xdr:row>74</xdr:row>
      <xdr:rowOff>80010</xdr:rowOff>
    </xdr:from>
    <xdr:to>
      <xdr:col>2</xdr:col>
      <xdr:colOff>1501140</xdr:colOff>
      <xdr:row>86</xdr:row>
      <xdr:rowOff>167640</xdr:rowOff>
    </xdr:to>
    <xdr:graphicFrame macro="">
      <xdr:nvGraphicFramePr>
        <xdr:cNvPr id="9" name="Wykres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373380</xdr:colOff>
      <xdr:row>87</xdr:row>
      <xdr:rowOff>49530</xdr:rowOff>
    </xdr:from>
    <xdr:to>
      <xdr:col>2</xdr:col>
      <xdr:colOff>1493520</xdr:colOff>
      <xdr:row>99</xdr:row>
      <xdr:rowOff>137160</xdr:rowOff>
    </xdr:to>
    <xdr:graphicFrame macro="">
      <xdr:nvGraphicFramePr>
        <xdr:cNvPr id="10" name="Wykres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21364</xdr:colOff>
      <xdr:row>4</xdr:row>
      <xdr:rowOff>1</xdr:rowOff>
    </xdr:from>
    <xdr:to>
      <xdr:col>18</xdr:col>
      <xdr:colOff>477140</xdr:colOff>
      <xdr:row>16</xdr:row>
      <xdr:rowOff>170917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21364</xdr:colOff>
      <xdr:row>21</xdr:row>
      <xdr:rowOff>49137</xdr:rowOff>
    </xdr:from>
    <xdr:to>
      <xdr:col>18</xdr:col>
      <xdr:colOff>462897</xdr:colOff>
      <xdr:row>33</xdr:row>
      <xdr:rowOff>113944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35607</xdr:colOff>
      <xdr:row>37</xdr:row>
      <xdr:rowOff>63380</xdr:rowOff>
    </xdr:from>
    <xdr:to>
      <xdr:col>18</xdr:col>
      <xdr:colOff>477139</xdr:colOff>
      <xdr:row>50</xdr:row>
      <xdr:rowOff>92579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21364</xdr:colOff>
      <xdr:row>54</xdr:row>
      <xdr:rowOff>106110</xdr:rowOff>
    </xdr:from>
    <xdr:to>
      <xdr:col>18</xdr:col>
      <xdr:colOff>462897</xdr:colOff>
      <xdr:row>68</xdr:row>
      <xdr:rowOff>121066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35608</xdr:colOff>
      <xdr:row>72</xdr:row>
      <xdr:rowOff>42729</xdr:rowOff>
    </xdr:from>
    <xdr:to>
      <xdr:col>18</xdr:col>
      <xdr:colOff>477140</xdr:colOff>
      <xdr:row>85</xdr:row>
      <xdr:rowOff>92579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42730</xdr:colOff>
      <xdr:row>89</xdr:row>
      <xdr:rowOff>56260</xdr:rowOff>
    </xdr:from>
    <xdr:to>
      <xdr:col>18</xdr:col>
      <xdr:colOff>462897</xdr:colOff>
      <xdr:row>103</xdr:row>
      <xdr:rowOff>121065</xdr:rowOff>
    </xdr:to>
    <xdr:graphicFrame macro="">
      <xdr:nvGraphicFramePr>
        <xdr:cNvPr id="7" name="Wykres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515470</xdr:colOff>
      <xdr:row>0</xdr:row>
      <xdr:rowOff>44824</xdr:rowOff>
    </xdr:from>
    <xdr:to>
      <xdr:col>14</xdr:col>
      <xdr:colOff>345140</xdr:colOff>
      <xdr:row>16</xdr:row>
      <xdr:rowOff>8218</xdr:rowOff>
    </xdr:to>
    <xdr:pic>
      <xdr:nvPicPr>
        <xdr:cNvPr id="3" name="Obraz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99411" y="44824"/>
          <a:ext cx="5156200" cy="283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31256</xdr:colOff>
      <xdr:row>4</xdr:row>
      <xdr:rowOff>32346</xdr:rowOff>
    </xdr:from>
    <xdr:to>
      <xdr:col>7</xdr:col>
      <xdr:colOff>662940</xdr:colOff>
      <xdr:row>20</xdr:row>
      <xdr:rowOff>40121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23792</xdr:colOff>
      <xdr:row>25</xdr:row>
      <xdr:rowOff>47740</xdr:rowOff>
    </xdr:from>
    <xdr:to>
      <xdr:col>7</xdr:col>
      <xdr:colOff>653609</xdr:colOff>
      <xdr:row>42</xdr:row>
      <xdr:rowOff>140270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25098</xdr:colOff>
      <xdr:row>27</xdr:row>
      <xdr:rowOff>171718</xdr:rowOff>
    </xdr:from>
    <xdr:to>
      <xdr:col>7</xdr:col>
      <xdr:colOff>1042737</xdr:colOff>
      <xdr:row>46</xdr:row>
      <xdr:rowOff>3619</xdr:rowOff>
    </xdr:to>
    <xdr:graphicFrame macro="">
      <xdr:nvGraphicFramePr>
        <xdr:cNvPr id="2" name="Wykres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40970</xdr:colOff>
      <xdr:row>74</xdr:row>
      <xdr:rowOff>99657</xdr:rowOff>
    </xdr:from>
    <xdr:to>
      <xdr:col>7</xdr:col>
      <xdr:colOff>1042738</xdr:colOff>
      <xdr:row>96</xdr:row>
      <xdr:rowOff>82452</xdr:rowOff>
    </xdr:to>
    <xdr:graphicFrame macro="">
      <xdr:nvGraphicFramePr>
        <xdr:cNvPr id="3" name="Wykres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32775</xdr:colOff>
      <xdr:row>10</xdr:row>
      <xdr:rowOff>42022</xdr:rowOff>
    </xdr:from>
    <xdr:to>
      <xdr:col>7</xdr:col>
      <xdr:colOff>1050758</xdr:colOff>
      <xdr:row>28</xdr:row>
      <xdr:rowOff>16621</xdr:rowOff>
    </xdr:to>
    <xdr:graphicFrame macro="">
      <xdr:nvGraphicFramePr>
        <xdr:cNvPr id="4" name="Wykres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49161</xdr:colOff>
      <xdr:row>56</xdr:row>
      <xdr:rowOff>90129</xdr:rowOff>
    </xdr:from>
    <xdr:to>
      <xdr:col>7</xdr:col>
      <xdr:colOff>1034716</xdr:colOff>
      <xdr:row>74</xdr:row>
      <xdr:rowOff>56534</xdr:rowOff>
    </xdr:to>
    <xdr:graphicFrame macro="">
      <xdr:nvGraphicFramePr>
        <xdr:cNvPr id="5" name="Wykres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272715</xdr:colOff>
      <xdr:row>9</xdr:row>
      <xdr:rowOff>132348</xdr:rowOff>
    </xdr:from>
    <xdr:to>
      <xdr:col>17</xdr:col>
      <xdr:colOff>376990</xdr:colOff>
      <xdr:row>27</xdr:row>
      <xdr:rowOff>136357</xdr:rowOff>
    </xdr:to>
    <xdr:graphicFrame macro="">
      <xdr:nvGraphicFramePr>
        <xdr:cNvPr id="6" name="Wykres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304800</xdr:colOff>
      <xdr:row>57</xdr:row>
      <xdr:rowOff>116305</xdr:rowOff>
    </xdr:from>
    <xdr:to>
      <xdr:col>14</xdr:col>
      <xdr:colOff>577516</xdr:colOff>
      <xdr:row>72</xdr:row>
      <xdr:rowOff>92242</xdr:rowOff>
    </xdr:to>
    <xdr:graphicFrame macro="">
      <xdr:nvGraphicFramePr>
        <xdr:cNvPr id="7" name="Wykres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ominika\Desktop\PGN%20DOMINIKA\PGN%20Krzy&#380;an&#243;w%20poprawki\baza%20Krzyzano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tuł"/>
      <sheetName val="Wskazniki emisji"/>
      <sheetName val="Ankiety mieszkalne"/>
      <sheetName val="Mieszkalnictwo"/>
      <sheetName val="Przedsiębiorcy"/>
      <sheetName val="Usługi i przemysł"/>
      <sheetName val="Obiekty publiczne"/>
      <sheetName val="Obiekty publiczne 2"/>
      <sheetName val="TRANSPORT "/>
      <sheetName val="Oświetlenie"/>
      <sheetName val="Podsumowanie"/>
      <sheetName val="Plan działania"/>
      <sheetName val="Prognozy ogolne"/>
      <sheetName val="Prognoza cieplo"/>
      <sheetName val="Prognoza energia elektryczna"/>
      <sheetName val="Prognoza gaz ziemny"/>
      <sheetName val="Prognoza emisja CO2"/>
      <sheetName val="Prognoza transport"/>
      <sheetName val="Prognoza transport lokalny"/>
      <sheetName val="Prognoza tranzyt"/>
      <sheetName val="Prognoza transport suma"/>
      <sheetName val="Prognozy podsumowanie"/>
      <sheetName val="OZE"/>
      <sheetName val="Emisja innych gazów"/>
      <sheetName val="Prognozy emisji innych gazów"/>
    </sheetNames>
    <sheetDataSet>
      <sheetData sheetId="0"/>
      <sheetData sheetId="1"/>
      <sheetData sheetId="2"/>
      <sheetData sheetId="3"/>
      <sheetData sheetId="4"/>
      <sheetData sheetId="5">
        <row r="17">
          <cell r="A17" t="str">
            <v>Węgiel kamienny</v>
          </cell>
        </row>
        <row r="18">
          <cell r="A18" t="str">
            <v>Olej opałowy</v>
          </cell>
        </row>
      </sheetData>
      <sheetData sheetId="6"/>
      <sheetData sheetId="7">
        <row r="16">
          <cell r="A16" t="str">
            <v>Węgiel kamienny</v>
          </cell>
        </row>
      </sheetData>
      <sheetData sheetId="8">
        <row r="125">
          <cell r="B125" t="str">
            <v>Benzyna</v>
          </cell>
        </row>
        <row r="126">
          <cell r="B126" t="str">
            <v>Olej napędowy</v>
          </cell>
        </row>
        <row r="127">
          <cell r="B127" t="str">
            <v>LPG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2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W46"/>
  <sheetViews>
    <sheetView view="pageBreakPreview" zoomScale="95" zoomScaleNormal="100" zoomScaleSheetLayoutView="95" workbookViewId="0">
      <selection activeCell="B10" sqref="B10"/>
    </sheetView>
  </sheetViews>
  <sheetFormatPr defaultColWidth="9.109375" defaultRowHeight="13.8"/>
  <cols>
    <col min="1" max="1" width="3.88671875" style="11" customWidth="1"/>
    <col min="2" max="2" width="5.44140625" style="11" customWidth="1"/>
    <col min="3" max="3" width="21.33203125" style="18" customWidth="1"/>
    <col min="4" max="4" width="2.88671875" style="11" customWidth="1"/>
    <col min="5" max="8" width="9.109375" style="11"/>
    <col min="9" max="9" width="3.5546875" style="11" customWidth="1"/>
    <col min="10" max="10" width="8" style="11" customWidth="1"/>
    <col min="11" max="11" width="4.88671875" style="11" customWidth="1"/>
    <col min="12" max="16384" width="9.109375" style="11"/>
  </cols>
  <sheetData>
    <row r="4" spans="1:13">
      <c r="B4" s="373" t="s">
        <v>265</v>
      </c>
      <c r="C4" s="373"/>
      <c r="D4" s="373"/>
      <c r="E4" s="373"/>
      <c r="F4" s="373"/>
      <c r="G4" s="373"/>
      <c r="H4" s="373"/>
      <c r="I4" s="373"/>
      <c r="J4" s="373"/>
    </row>
    <row r="5" spans="1:13">
      <c r="B5" s="373"/>
      <c r="C5" s="373"/>
      <c r="D5" s="373"/>
      <c r="E5" s="373"/>
      <c r="F5" s="373"/>
      <c r="G5" s="373"/>
      <c r="H5" s="373"/>
      <c r="I5" s="373"/>
      <c r="J5" s="373"/>
    </row>
    <row r="6" spans="1:13" ht="7.5" customHeight="1">
      <c r="B6" s="373"/>
      <c r="C6" s="373"/>
      <c r="D6" s="373"/>
      <c r="E6" s="373"/>
      <c r="F6" s="373"/>
      <c r="G6" s="373"/>
      <c r="H6" s="373"/>
      <c r="I6" s="373"/>
      <c r="J6" s="373"/>
    </row>
    <row r="7" spans="1:13">
      <c r="B7" s="373"/>
      <c r="C7" s="373"/>
      <c r="D7" s="373"/>
      <c r="E7" s="373"/>
      <c r="F7" s="373"/>
      <c r="G7" s="373"/>
      <c r="H7" s="373"/>
      <c r="I7" s="373"/>
      <c r="J7" s="373"/>
    </row>
    <row r="8" spans="1:13">
      <c r="B8" s="373"/>
      <c r="C8" s="373"/>
      <c r="D8" s="373"/>
      <c r="E8" s="373"/>
      <c r="F8" s="373"/>
      <c r="G8" s="373"/>
      <c r="H8" s="373"/>
      <c r="I8" s="373"/>
      <c r="J8" s="373"/>
      <c r="K8" s="12"/>
    </row>
    <row r="9" spans="1:13" ht="25.5" customHeight="1">
      <c r="B9" s="373"/>
      <c r="C9" s="373"/>
      <c r="D9" s="373"/>
      <c r="E9" s="373"/>
      <c r="F9" s="373"/>
      <c r="G9" s="373"/>
      <c r="H9" s="373"/>
      <c r="I9" s="373"/>
      <c r="J9" s="373"/>
      <c r="K9" s="13"/>
      <c r="M9" s="14"/>
    </row>
    <row r="10" spans="1:13" ht="4.5" customHeight="1">
      <c r="B10" s="15"/>
      <c r="C10" s="16"/>
      <c r="D10" s="15"/>
      <c r="E10" s="15"/>
      <c r="F10" s="15"/>
      <c r="G10" s="15"/>
      <c r="H10" s="15"/>
      <c r="I10" s="15"/>
      <c r="J10" s="15"/>
      <c r="K10" s="12"/>
      <c r="M10" s="14"/>
    </row>
    <row r="11" spans="1:13" ht="17.25" customHeight="1">
      <c r="B11" s="374" t="s">
        <v>97</v>
      </c>
      <c r="C11" s="374"/>
      <c r="D11" s="374"/>
      <c r="E11" s="374"/>
      <c r="F11" s="374"/>
      <c r="G11" s="374"/>
      <c r="H11" s="374"/>
      <c r="I11" s="374"/>
      <c r="J11" s="374"/>
      <c r="K11" s="17"/>
    </row>
    <row r="12" spans="1:13" ht="6" customHeight="1">
      <c r="B12" s="15"/>
      <c r="C12" s="16"/>
      <c r="D12" s="15"/>
      <c r="E12" s="15"/>
      <c r="F12" s="15"/>
      <c r="G12" s="15"/>
      <c r="H12" s="15"/>
      <c r="I12" s="15"/>
      <c r="J12" s="15"/>
    </row>
    <row r="13" spans="1:13" ht="21.75" customHeight="1"/>
    <row r="14" spans="1:13" ht="4.5" customHeight="1">
      <c r="G14" s="11">
        <f>D14*3.6</f>
        <v>0</v>
      </c>
    </row>
    <row r="15" spans="1:13" ht="23.25" customHeight="1">
      <c r="A15" s="375"/>
      <c r="B15" s="375"/>
      <c r="C15" s="375"/>
      <c r="D15" s="375"/>
      <c r="E15" s="375"/>
      <c r="F15" s="375"/>
      <c r="G15" s="375"/>
      <c r="H15" s="375"/>
      <c r="I15" s="375"/>
      <c r="J15" s="375"/>
      <c r="M15" s="14"/>
    </row>
    <row r="17" spans="2:23" ht="21.75" customHeight="1">
      <c r="B17" s="376"/>
      <c r="C17" s="377"/>
      <c r="D17" s="377"/>
      <c r="E17" s="377"/>
      <c r="F17" s="377"/>
      <c r="G17" s="377"/>
      <c r="H17" s="377"/>
      <c r="I17" s="377"/>
      <c r="J17" s="377"/>
    </row>
    <row r="18" spans="2:23" ht="30" customHeight="1">
      <c r="B18" s="377"/>
      <c r="C18" s="377"/>
      <c r="D18" s="377"/>
      <c r="E18" s="377"/>
      <c r="F18" s="377"/>
      <c r="G18" s="377"/>
      <c r="H18" s="377"/>
      <c r="I18" s="377"/>
      <c r="J18" s="377"/>
    </row>
    <row r="19" spans="2:23" ht="35.25" customHeight="1">
      <c r="B19" s="377"/>
      <c r="C19" s="377"/>
      <c r="D19" s="377"/>
      <c r="E19" s="377"/>
      <c r="F19" s="377"/>
      <c r="G19" s="377"/>
      <c r="H19" s="377"/>
      <c r="I19" s="377"/>
      <c r="J19" s="377"/>
      <c r="P19"/>
      <c r="W19"/>
    </row>
    <row r="20" spans="2:23" ht="40.5" customHeight="1">
      <c r="B20" s="377"/>
      <c r="C20" s="377"/>
      <c r="D20" s="377"/>
      <c r="E20" s="377"/>
      <c r="F20" s="377"/>
      <c r="G20" s="377"/>
      <c r="H20" s="377"/>
      <c r="I20" s="377"/>
      <c r="J20" s="377"/>
    </row>
    <row r="21" spans="2:23" ht="21" customHeight="1">
      <c r="B21" s="377"/>
      <c r="C21" s="377"/>
      <c r="D21" s="377"/>
      <c r="E21" s="377"/>
      <c r="F21" s="377"/>
      <c r="G21" s="377"/>
      <c r="H21" s="377"/>
      <c r="I21" s="377"/>
      <c r="J21" s="377"/>
    </row>
    <row r="22" spans="2:23" ht="31.5" customHeight="1">
      <c r="B22" s="377"/>
      <c r="C22" s="377"/>
      <c r="D22" s="377"/>
      <c r="E22" s="377"/>
      <c r="F22" s="377"/>
      <c r="G22" s="377"/>
      <c r="H22" s="377"/>
      <c r="I22" s="377"/>
      <c r="J22" s="377"/>
    </row>
    <row r="23" spans="2:23">
      <c r="B23" s="377"/>
      <c r="C23" s="377"/>
      <c r="D23" s="377"/>
      <c r="E23" s="377"/>
      <c r="F23" s="377"/>
      <c r="G23" s="377"/>
      <c r="H23" s="377"/>
      <c r="I23" s="377"/>
      <c r="J23" s="377"/>
    </row>
    <row r="24" spans="2:23">
      <c r="B24" s="377"/>
      <c r="C24" s="377"/>
      <c r="D24" s="377"/>
      <c r="E24" s="377"/>
      <c r="F24" s="377"/>
      <c r="G24" s="377"/>
      <c r="H24" s="377"/>
      <c r="I24" s="377"/>
      <c r="J24" s="377"/>
    </row>
    <row r="25" spans="2:23" ht="15" customHeight="1"/>
    <row r="26" spans="2:23" ht="8.25" customHeight="1">
      <c r="F26" s="378"/>
      <c r="G26" s="378"/>
      <c r="H26" s="378"/>
    </row>
    <row r="27" spans="2:23" ht="5.25" hidden="1" customHeight="1"/>
    <row r="28" spans="2:23" hidden="1">
      <c r="F28" s="379"/>
      <c r="G28" s="379"/>
      <c r="H28" s="379"/>
    </row>
    <row r="29" spans="2:23" ht="12" customHeight="1">
      <c r="B29" s="19"/>
    </row>
    <row r="37" spans="2:10" ht="6.75" customHeight="1"/>
    <row r="38" spans="2:10" hidden="1"/>
    <row r="39" spans="2:10" hidden="1"/>
    <row r="40" spans="2:10" ht="8.25" hidden="1" customHeight="1"/>
    <row r="41" spans="2:10" ht="36" hidden="1" customHeight="1">
      <c r="B41" s="371"/>
      <c r="C41" s="372"/>
      <c r="D41" s="372"/>
      <c r="E41" s="372"/>
      <c r="F41" s="372"/>
      <c r="G41" s="372"/>
      <c r="H41" s="372"/>
      <c r="I41" s="372"/>
      <c r="J41" s="372"/>
    </row>
    <row r="42" spans="2:10" ht="31.5" hidden="1" customHeight="1">
      <c r="B42" s="371"/>
      <c r="C42" s="372"/>
      <c r="D42" s="372"/>
      <c r="E42" s="372"/>
      <c r="F42" s="372"/>
      <c r="G42" s="372"/>
      <c r="H42" s="372"/>
      <c r="I42" s="372"/>
      <c r="J42" s="372"/>
    </row>
    <row r="43" spans="2:10" ht="9.75" customHeight="1">
      <c r="B43" s="371"/>
      <c r="C43" s="371"/>
      <c r="D43" s="371"/>
      <c r="E43" s="371"/>
      <c r="F43" s="371"/>
      <c r="G43" s="371"/>
      <c r="H43" s="371"/>
      <c r="I43" s="371"/>
      <c r="J43" s="371"/>
    </row>
    <row r="44" spans="2:10" ht="30" customHeight="1">
      <c r="B44" s="371"/>
      <c r="C44" s="371"/>
      <c r="D44" s="371"/>
      <c r="E44" s="371"/>
      <c r="F44" s="371"/>
      <c r="G44" s="371"/>
      <c r="H44" s="371"/>
      <c r="I44" s="371"/>
      <c r="J44" s="371"/>
    </row>
    <row r="45" spans="2:10" ht="70.5" customHeight="1"/>
    <row r="46" spans="2:10" ht="50.25" customHeight="1"/>
  </sheetData>
  <mergeCells count="9">
    <mergeCell ref="B41:J41"/>
    <mergeCell ref="B42:J42"/>
    <mergeCell ref="B43:J44"/>
    <mergeCell ref="B4:J9"/>
    <mergeCell ref="B11:J11"/>
    <mergeCell ref="A15:J15"/>
    <mergeCell ref="B17:J24"/>
    <mergeCell ref="F26:H26"/>
    <mergeCell ref="F28:H28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="89" zoomScaleNormal="100" zoomScaleSheetLayoutView="89" workbookViewId="0">
      <selection activeCell="E19" sqref="E19"/>
    </sheetView>
  </sheetViews>
  <sheetFormatPr defaultRowHeight="14.4"/>
  <cols>
    <col min="1" max="1" width="27.88671875" style="25" customWidth="1"/>
    <col min="2" max="2" width="13.6640625" style="25" customWidth="1"/>
    <col min="3" max="3" width="13" style="25" customWidth="1"/>
    <col min="4" max="4" width="12.5546875" style="25" customWidth="1"/>
    <col min="5" max="5" width="13" style="25" customWidth="1"/>
  </cols>
  <sheetData>
    <row r="1" spans="1:12">
      <c r="A1" s="381" t="s">
        <v>164</v>
      </c>
      <c r="B1" s="381"/>
      <c r="C1" s="381"/>
      <c r="D1" s="381"/>
      <c r="E1" s="381"/>
    </row>
    <row r="2" spans="1:12">
      <c r="A2" s="381"/>
      <c r="B2" s="381"/>
      <c r="C2" s="381"/>
      <c r="D2" s="381"/>
      <c r="E2" s="381"/>
    </row>
    <row r="3" spans="1:12">
      <c r="A3" s="381"/>
      <c r="B3" s="381"/>
      <c r="C3" s="381"/>
      <c r="D3" s="381"/>
      <c r="E3" s="381"/>
      <c r="G3" s="58"/>
      <c r="H3" s="58"/>
      <c r="I3" s="58"/>
      <c r="J3" s="58"/>
      <c r="K3" s="58"/>
      <c r="L3" s="58"/>
    </row>
    <row r="4" spans="1:12">
      <c r="A4" s="381"/>
      <c r="B4" s="381"/>
      <c r="C4" s="381"/>
      <c r="D4" s="381"/>
      <c r="E4" s="381"/>
      <c r="G4" s="58"/>
      <c r="H4" s="58"/>
      <c r="I4" s="58"/>
      <c r="J4" s="58"/>
      <c r="K4" s="58"/>
      <c r="L4" s="58"/>
    </row>
    <row r="5" spans="1:12">
      <c r="G5" s="58"/>
      <c r="H5" s="58"/>
      <c r="I5" s="58"/>
      <c r="J5" s="58"/>
      <c r="K5" s="58"/>
      <c r="L5" s="58"/>
    </row>
    <row r="6" spans="1:12">
      <c r="A6" s="382" t="s">
        <v>13</v>
      </c>
      <c r="B6" s="383" t="s">
        <v>14</v>
      </c>
      <c r="C6" s="383"/>
      <c r="D6" s="383" t="s">
        <v>15</v>
      </c>
      <c r="E6" s="383"/>
      <c r="G6" s="380"/>
      <c r="H6" s="380"/>
      <c r="I6" s="380"/>
      <c r="J6" s="380"/>
      <c r="K6" s="58"/>
      <c r="L6" s="58"/>
    </row>
    <row r="7" spans="1:12">
      <c r="A7" s="382"/>
      <c r="B7" s="190" t="s">
        <v>5</v>
      </c>
      <c r="C7" s="190" t="s">
        <v>4</v>
      </c>
      <c r="D7" s="190" t="s">
        <v>2</v>
      </c>
      <c r="E7" s="190" t="s">
        <v>6</v>
      </c>
      <c r="G7" s="189"/>
      <c r="H7" s="189"/>
      <c r="I7" s="189"/>
      <c r="J7" s="189"/>
      <c r="K7" s="58"/>
      <c r="L7" s="58"/>
    </row>
    <row r="8" spans="1:12">
      <c r="A8" s="28" t="s">
        <v>7</v>
      </c>
      <c r="B8" s="48">
        <f>0.277*C8</f>
        <v>6.9693200000000006</v>
      </c>
      <c r="C8" s="48">
        <v>25.16</v>
      </c>
      <c r="D8" s="48">
        <f>E8/0.227</f>
        <v>0.41431718061674006</v>
      </c>
      <c r="E8" s="48">
        <f>0.09405</f>
        <v>9.4049999999999995E-2</v>
      </c>
      <c r="G8" s="58"/>
      <c r="H8" s="58"/>
      <c r="I8" s="58"/>
      <c r="J8" s="58"/>
      <c r="K8" s="58"/>
      <c r="L8" s="58"/>
    </row>
    <row r="9" spans="1:12">
      <c r="A9" s="28" t="s">
        <v>11</v>
      </c>
      <c r="B9" s="48">
        <f t="shared" ref="B9:B14" si="0">0.277*C9</f>
        <v>13.296000000000001</v>
      </c>
      <c r="C9" s="48">
        <v>48</v>
      </c>
      <c r="D9" s="48">
        <f t="shared" ref="D9:D14" si="1">E9/0.227</f>
        <v>0.24590308370044053</v>
      </c>
      <c r="E9" s="48">
        <v>5.5820000000000002E-2</v>
      </c>
      <c r="G9" s="58"/>
      <c r="H9" s="59"/>
      <c r="I9" s="59"/>
      <c r="J9" s="59"/>
      <c r="K9" s="58"/>
      <c r="L9" s="58"/>
    </row>
    <row r="10" spans="1:12">
      <c r="A10" s="28" t="s">
        <v>10</v>
      </c>
      <c r="B10" s="48">
        <f t="shared" si="0"/>
        <v>11.132630000000001</v>
      </c>
      <c r="C10" s="48">
        <v>40.19</v>
      </c>
      <c r="D10" s="48">
        <f t="shared" si="1"/>
        <v>0.33740088105726873</v>
      </c>
      <c r="E10" s="48">
        <v>7.6590000000000005E-2</v>
      </c>
      <c r="G10" s="58"/>
      <c r="H10" s="59"/>
      <c r="I10" s="59"/>
      <c r="J10" s="59"/>
      <c r="K10" s="58"/>
      <c r="L10" s="58"/>
    </row>
    <row r="11" spans="1:12">
      <c r="A11" s="28" t="s">
        <v>162</v>
      </c>
      <c r="B11" s="48">
        <f t="shared" si="0"/>
        <v>4.3212000000000002</v>
      </c>
      <c r="C11" s="48">
        <v>15.6</v>
      </c>
      <c r="D11" s="48">
        <f t="shared" si="1"/>
        <v>0</v>
      </c>
      <c r="E11" s="48">
        <v>0</v>
      </c>
      <c r="G11" s="58"/>
      <c r="H11" s="58"/>
      <c r="I11" s="58"/>
      <c r="J11" s="58"/>
      <c r="K11" s="58"/>
      <c r="L11" s="58"/>
    </row>
    <row r="12" spans="1:12">
      <c r="A12" s="28" t="s">
        <v>8</v>
      </c>
      <c r="B12" s="48">
        <f t="shared" si="0"/>
        <v>12.002410000000001</v>
      </c>
      <c r="C12" s="48">
        <v>43.33</v>
      </c>
      <c r="D12" s="48">
        <f t="shared" si="1"/>
        <v>0.32303964757709253</v>
      </c>
      <c r="E12" s="48">
        <v>7.3330000000000006E-2</v>
      </c>
      <c r="G12" s="58"/>
      <c r="H12" s="58"/>
      <c r="I12" s="58"/>
      <c r="J12" s="58"/>
      <c r="K12" s="58"/>
      <c r="L12" s="58"/>
    </row>
    <row r="13" spans="1:12">
      <c r="A13" s="28" t="s">
        <v>9</v>
      </c>
      <c r="B13" s="48">
        <f t="shared" si="0"/>
        <v>12.409600000000001</v>
      </c>
      <c r="C13" s="48">
        <v>44.8</v>
      </c>
      <c r="D13" s="48">
        <f t="shared" si="1"/>
        <v>0.30224669603524229</v>
      </c>
      <c r="E13" s="48">
        <v>6.8610000000000004E-2</v>
      </c>
      <c r="G13" s="58"/>
      <c r="H13" s="58"/>
      <c r="I13" s="58"/>
      <c r="J13" s="58"/>
      <c r="K13" s="58"/>
      <c r="L13" s="58"/>
    </row>
    <row r="14" spans="1:12">
      <c r="A14" s="28" t="s">
        <v>12</v>
      </c>
      <c r="B14" s="48">
        <f t="shared" si="0"/>
        <v>13.104870000000002</v>
      </c>
      <c r="C14" s="48">
        <v>47.31</v>
      </c>
      <c r="D14" s="48">
        <f t="shared" si="1"/>
        <v>0.2750660792951542</v>
      </c>
      <c r="E14" s="48">
        <v>6.2440000000000002E-2</v>
      </c>
      <c r="G14" s="58"/>
      <c r="H14" s="58"/>
      <c r="I14" s="58"/>
      <c r="J14" s="58"/>
      <c r="K14" s="58"/>
      <c r="L14" s="58"/>
    </row>
    <row r="15" spans="1:12">
      <c r="A15" s="28" t="s">
        <v>16</v>
      </c>
      <c r="B15" s="48" t="s">
        <v>17</v>
      </c>
      <c r="C15" s="48" t="s">
        <v>17</v>
      </c>
      <c r="D15" s="48">
        <v>0.81200000000000006</v>
      </c>
      <c r="E15" s="48">
        <f t="shared" ref="E15" si="2">0.277*D15</f>
        <v>0.22492400000000004</v>
      </c>
      <c r="G15" s="58"/>
      <c r="H15" s="58"/>
      <c r="I15" s="58"/>
      <c r="J15" s="58"/>
      <c r="K15" s="58"/>
      <c r="L15" s="58"/>
    </row>
    <row r="16" spans="1:12">
      <c r="G16" s="58"/>
      <c r="H16" s="58"/>
      <c r="I16" s="58"/>
      <c r="J16" s="58"/>
      <c r="K16" s="58"/>
      <c r="L16" s="58"/>
    </row>
    <row r="17" spans="1:12">
      <c r="A17" s="49" t="s">
        <v>13</v>
      </c>
      <c r="B17" s="50" t="s">
        <v>23</v>
      </c>
      <c r="C17" s="50" t="s">
        <v>20</v>
      </c>
      <c r="G17" s="58"/>
      <c r="H17" s="58"/>
      <c r="I17" s="58"/>
      <c r="J17" s="58"/>
      <c r="K17" s="58"/>
      <c r="L17" s="58"/>
    </row>
    <row r="18" spans="1:12">
      <c r="A18" s="49" t="s">
        <v>10</v>
      </c>
      <c r="B18" s="90">
        <v>0.85</v>
      </c>
      <c r="C18" s="51" t="s">
        <v>94</v>
      </c>
      <c r="G18" s="58"/>
      <c r="H18" s="58"/>
      <c r="I18" s="58"/>
      <c r="J18" s="58"/>
      <c r="K18" s="58"/>
      <c r="L18" s="58"/>
    </row>
    <row r="19" spans="1:12">
      <c r="A19" s="49" t="s">
        <v>8</v>
      </c>
      <c r="B19" s="90">
        <v>0.83</v>
      </c>
      <c r="C19" s="51" t="s">
        <v>94</v>
      </c>
      <c r="G19" s="58"/>
      <c r="H19" s="58"/>
      <c r="I19" s="58"/>
      <c r="J19" s="58"/>
      <c r="K19" s="58"/>
      <c r="L19" s="58"/>
    </row>
    <row r="20" spans="1:12">
      <c r="A20" s="49" t="s">
        <v>44</v>
      </c>
      <c r="B20" s="90">
        <v>0.7</v>
      </c>
      <c r="C20" s="51" t="s">
        <v>94</v>
      </c>
      <c r="G20" s="58"/>
      <c r="H20" s="58"/>
      <c r="I20" s="58"/>
      <c r="J20" s="58"/>
      <c r="K20" s="58"/>
      <c r="L20" s="58"/>
    </row>
    <row r="21" spans="1:12">
      <c r="A21" s="49" t="s">
        <v>12</v>
      </c>
      <c r="B21" s="90">
        <v>0.6</v>
      </c>
      <c r="C21" s="51" t="s">
        <v>94</v>
      </c>
      <c r="G21" s="58"/>
      <c r="H21" s="58"/>
      <c r="I21" s="58"/>
      <c r="J21" s="58"/>
      <c r="K21" s="58"/>
      <c r="L21" s="58"/>
    </row>
    <row r="22" spans="1:12">
      <c r="A22" s="49" t="s">
        <v>11</v>
      </c>
      <c r="B22" s="51">
        <v>0.71599999999999997</v>
      </c>
      <c r="C22" s="51" t="s">
        <v>24</v>
      </c>
      <c r="G22" s="58"/>
      <c r="H22" s="58"/>
      <c r="I22" s="58"/>
      <c r="J22" s="58"/>
      <c r="K22" s="58"/>
      <c r="L22" s="58"/>
    </row>
    <row r="23" spans="1:12">
      <c r="G23" s="58"/>
      <c r="H23" s="58"/>
      <c r="I23" s="58"/>
      <c r="J23" s="58"/>
      <c r="K23" s="58"/>
      <c r="L23" s="58"/>
    </row>
    <row r="24" spans="1:12">
      <c r="G24" s="58"/>
      <c r="H24" s="58"/>
      <c r="I24" s="58"/>
      <c r="J24" s="58"/>
      <c r="K24" s="58"/>
      <c r="L24" s="58"/>
    </row>
  </sheetData>
  <mergeCells count="6">
    <mergeCell ref="I6:J6"/>
    <mergeCell ref="A1:E4"/>
    <mergeCell ref="A6:A7"/>
    <mergeCell ref="B6:C6"/>
    <mergeCell ref="D6:E6"/>
    <mergeCell ref="G6:H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view="pageBreakPreview" zoomScale="89" zoomScaleNormal="100" zoomScaleSheetLayoutView="89" workbookViewId="0">
      <selection activeCell="D21" sqref="D21"/>
    </sheetView>
  </sheetViews>
  <sheetFormatPr defaultRowHeight="14.4"/>
  <cols>
    <col min="1" max="1" width="27.88671875" style="25" customWidth="1"/>
    <col min="2" max="2" width="13.6640625" style="25" customWidth="1"/>
    <col min="3" max="3" width="13" style="25" customWidth="1"/>
    <col min="4" max="4" width="12.5546875" style="25" customWidth="1"/>
    <col min="5" max="5" width="13" style="25" customWidth="1"/>
  </cols>
  <sheetData>
    <row r="1" spans="1:12">
      <c r="A1" s="381" t="str">
        <f>'Wskaźniki emisji 2010r'!A1:E4</f>
        <v>Wskaźniki emisji opisują ile ton CO2 przypada na jednostkę zużycia poszczególnych nośników energii.
W obliczeniach wykorzystano standardowe wskaźniki według wytycznych IPPC, uaktualnione wytycznymi KOBIZE, które obejmują całość emisji CO2, wynikłej z końcowego zużycia energii na terenie gminy.</v>
      </c>
      <c r="B1" s="381"/>
      <c r="C1" s="381"/>
      <c r="D1" s="381"/>
      <c r="E1" s="381"/>
    </row>
    <row r="2" spans="1:12">
      <c r="A2" s="381"/>
      <c r="B2" s="381"/>
      <c r="C2" s="381"/>
      <c r="D2" s="381"/>
      <c r="E2" s="381"/>
    </row>
    <row r="3" spans="1:12">
      <c r="A3" s="381"/>
      <c r="B3" s="381"/>
      <c r="C3" s="381"/>
      <c r="D3" s="381"/>
      <c r="E3" s="381"/>
      <c r="G3" s="58"/>
      <c r="H3" s="58"/>
      <c r="I3" s="58"/>
      <c r="J3" s="58"/>
      <c r="K3" s="58"/>
      <c r="L3" s="58"/>
    </row>
    <row r="4" spans="1:12">
      <c r="A4" s="381"/>
      <c r="B4" s="381"/>
      <c r="C4" s="381"/>
      <c r="D4" s="381"/>
      <c r="E4" s="381"/>
      <c r="G4" s="58"/>
      <c r="H4" s="58"/>
      <c r="I4" s="58"/>
      <c r="J4" s="58"/>
      <c r="K4" s="58"/>
      <c r="L4" s="58"/>
    </row>
    <row r="5" spans="1:12">
      <c r="G5" s="58"/>
      <c r="H5" s="58"/>
      <c r="I5" s="58"/>
      <c r="J5" s="58"/>
      <c r="K5" s="58"/>
      <c r="L5" s="58"/>
    </row>
    <row r="6" spans="1:12">
      <c r="A6" s="382" t="s">
        <v>13</v>
      </c>
      <c r="B6" s="383" t="s">
        <v>14</v>
      </c>
      <c r="C6" s="383"/>
      <c r="D6" s="383" t="s">
        <v>15</v>
      </c>
      <c r="E6" s="383"/>
      <c r="G6" s="380"/>
      <c r="H6" s="380"/>
      <c r="I6" s="380"/>
      <c r="J6" s="380"/>
      <c r="K6" s="58"/>
      <c r="L6" s="58"/>
    </row>
    <row r="7" spans="1:12">
      <c r="A7" s="382"/>
      <c r="B7" s="30" t="s">
        <v>5</v>
      </c>
      <c r="C7" s="30" t="s">
        <v>4</v>
      </c>
      <c r="D7" s="30" t="s">
        <v>2</v>
      </c>
      <c r="E7" s="30" t="s">
        <v>6</v>
      </c>
      <c r="G7" s="56"/>
      <c r="H7" s="56"/>
      <c r="I7" s="56"/>
      <c r="J7" s="56"/>
      <c r="K7" s="58"/>
      <c r="L7" s="58"/>
    </row>
    <row r="8" spans="1:12">
      <c r="A8" s="28" t="str">
        <f>'Wskaźniki emisji 2010r'!A8</f>
        <v>Węgiel kamienny</v>
      </c>
      <c r="B8" s="48">
        <f>0.277*C8</f>
        <v>7.3377300000000005</v>
      </c>
      <c r="C8" s="48">
        <v>26.49</v>
      </c>
      <c r="D8" s="48">
        <f>E8/0.277</f>
        <v>0.33920577617328518</v>
      </c>
      <c r="E8" s="48">
        <v>9.3960000000000002E-2</v>
      </c>
      <c r="G8" s="58"/>
      <c r="H8" s="58"/>
      <c r="I8" s="58"/>
      <c r="J8" s="58"/>
      <c r="K8" s="58"/>
      <c r="L8" s="58"/>
    </row>
    <row r="9" spans="1:12">
      <c r="A9" s="28" t="str">
        <f>'Wskaźniki emisji 2010r'!A9</f>
        <v>Gaz ziemny</v>
      </c>
      <c r="B9" s="48">
        <f t="shared" ref="B9:B14" si="0">0.277*C9</f>
        <v>13.296000000000001</v>
      </c>
      <c r="C9" s="48">
        <v>48</v>
      </c>
      <c r="D9" s="48">
        <f t="shared" ref="D9:D14" si="1">E9/0.277</f>
        <v>0.2015162454873646</v>
      </c>
      <c r="E9" s="48">
        <v>5.5820000000000002E-2</v>
      </c>
      <c r="G9" s="58"/>
      <c r="H9" s="59"/>
      <c r="I9" s="59"/>
      <c r="J9" s="59"/>
      <c r="K9" s="58"/>
      <c r="L9" s="58"/>
    </row>
    <row r="10" spans="1:12">
      <c r="A10" s="28" t="str">
        <f>'Wskaźniki emisji 2010r'!A10</f>
        <v>Olej opałowy</v>
      </c>
      <c r="B10" s="48">
        <f t="shared" si="0"/>
        <v>11.132630000000001</v>
      </c>
      <c r="C10" s="48">
        <v>40.19</v>
      </c>
      <c r="D10" s="48">
        <f t="shared" si="1"/>
        <v>0.27649819494584837</v>
      </c>
      <c r="E10" s="48">
        <v>7.6590000000000005E-2</v>
      </c>
      <c r="G10" s="58"/>
      <c r="H10" s="59"/>
      <c r="I10" s="59"/>
      <c r="J10" s="59"/>
      <c r="K10" s="58"/>
      <c r="L10" s="58"/>
    </row>
    <row r="11" spans="1:12">
      <c r="A11" s="28" t="str">
        <f>'Wskaźniki emisji 2010r'!A11</f>
        <v>Drewno opałowe</v>
      </c>
      <c r="B11" s="48">
        <f t="shared" si="0"/>
        <v>4.3212000000000002</v>
      </c>
      <c r="C11" s="48">
        <v>15.6</v>
      </c>
      <c r="D11" s="48">
        <v>0</v>
      </c>
      <c r="E11" s="48">
        <f t="shared" ref="E11" si="2">0.277*D11</f>
        <v>0</v>
      </c>
      <c r="G11" s="58"/>
      <c r="H11" s="58"/>
      <c r="I11" s="58"/>
      <c r="J11" s="58"/>
      <c r="K11" s="58"/>
      <c r="L11" s="58"/>
    </row>
    <row r="12" spans="1:12">
      <c r="A12" s="28" t="str">
        <f>'Wskaźniki emisji 2010r'!A12</f>
        <v>Olej napędowy</v>
      </c>
      <c r="B12" s="48">
        <f t="shared" si="0"/>
        <v>12.002410000000001</v>
      </c>
      <c r="C12" s="48">
        <v>43.33</v>
      </c>
      <c r="D12" s="48">
        <f t="shared" si="1"/>
        <v>0.26472924187725633</v>
      </c>
      <c r="E12" s="48">
        <v>7.3330000000000006E-2</v>
      </c>
      <c r="G12" s="58"/>
      <c r="H12" s="58"/>
      <c r="I12" s="58"/>
      <c r="J12" s="58"/>
      <c r="K12" s="58"/>
      <c r="L12" s="58"/>
    </row>
    <row r="13" spans="1:12">
      <c r="A13" s="28" t="str">
        <f>'Wskaźniki emisji 2010r'!A13</f>
        <v>Benzyna silnikowa</v>
      </c>
      <c r="B13" s="48">
        <f t="shared" si="0"/>
        <v>12.409600000000001</v>
      </c>
      <c r="C13" s="48">
        <v>44.8</v>
      </c>
      <c r="D13" s="48">
        <f t="shared" si="1"/>
        <v>0.24768953068592056</v>
      </c>
      <c r="E13" s="48">
        <v>6.8610000000000004E-2</v>
      </c>
      <c r="G13" s="58"/>
      <c r="H13" s="58"/>
      <c r="I13" s="58"/>
      <c r="J13" s="58"/>
      <c r="K13" s="58"/>
      <c r="L13" s="58"/>
    </row>
    <row r="14" spans="1:12">
      <c r="A14" s="28" t="str">
        <f>'Wskaźniki emisji 2010r'!A14</f>
        <v>LPG</v>
      </c>
      <c r="B14" s="48">
        <f t="shared" si="0"/>
        <v>13.104870000000002</v>
      </c>
      <c r="C14" s="48">
        <v>47.31</v>
      </c>
      <c r="D14" s="48">
        <f t="shared" si="1"/>
        <v>0.22541516245487364</v>
      </c>
      <c r="E14" s="48">
        <v>6.2440000000000002E-2</v>
      </c>
      <c r="G14" s="58"/>
      <c r="H14" s="58"/>
      <c r="I14" s="58"/>
      <c r="J14" s="58"/>
      <c r="K14" s="58"/>
      <c r="L14" s="58"/>
    </row>
    <row r="15" spans="1:12">
      <c r="A15" s="28" t="str">
        <f>'Wskaźniki emisji 2010r'!A15</f>
        <v>Energia elektryczna</v>
      </c>
      <c r="B15" s="48" t="s">
        <v>17</v>
      </c>
      <c r="C15" s="48" t="s">
        <v>17</v>
      </c>
      <c r="D15" s="48">
        <v>0.81200000000000006</v>
      </c>
      <c r="E15" s="48">
        <f>D15*0.277</f>
        <v>0.22492400000000004</v>
      </c>
      <c r="G15" s="58"/>
      <c r="H15" s="58"/>
      <c r="I15" s="58"/>
      <c r="J15" s="58"/>
      <c r="K15" s="58"/>
      <c r="L15" s="58"/>
    </row>
    <row r="16" spans="1:12">
      <c r="G16" s="58"/>
      <c r="H16" s="58"/>
      <c r="I16" s="58"/>
      <c r="J16" s="58"/>
      <c r="K16" s="58"/>
      <c r="L16" s="58"/>
    </row>
    <row r="17" spans="1:12">
      <c r="A17" s="49" t="s">
        <v>13</v>
      </c>
      <c r="B17" s="50" t="s">
        <v>23</v>
      </c>
      <c r="C17" s="50" t="s">
        <v>20</v>
      </c>
      <c r="G17" s="58"/>
      <c r="H17" s="58"/>
      <c r="I17" s="58"/>
      <c r="J17" s="58"/>
      <c r="K17" s="58"/>
      <c r="L17" s="58"/>
    </row>
    <row r="18" spans="1:12">
      <c r="A18" s="49" t="s">
        <v>10</v>
      </c>
      <c r="B18" s="90">
        <v>0.85</v>
      </c>
      <c r="C18" s="51" t="s">
        <v>94</v>
      </c>
      <c r="G18" s="58"/>
      <c r="H18" s="58"/>
      <c r="I18" s="58"/>
      <c r="J18" s="58"/>
      <c r="K18" s="58"/>
      <c r="L18" s="58"/>
    </row>
    <row r="19" spans="1:12">
      <c r="A19" s="49" t="s">
        <v>8</v>
      </c>
      <c r="B19" s="90">
        <v>0.83</v>
      </c>
      <c r="C19" s="51" t="s">
        <v>94</v>
      </c>
      <c r="G19" s="58"/>
      <c r="H19" s="58"/>
      <c r="I19" s="58"/>
      <c r="J19" s="58"/>
      <c r="K19" s="58"/>
      <c r="L19" s="58"/>
    </row>
    <row r="20" spans="1:12">
      <c r="A20" s="49" t="s">
        <v>44</v>
      </c>
      <c r="B20" s="90">
        <v>0.7</v>
      </c>
      <c r="C20" s="51" t="s">
        <v>94</v>
      </c>
      <c r="G20" s="58"/>
      <c r="H20" s="58"/>
      <c r="I20" s="58"/>
      <c r="J20" s="58"/>
      <c r="K20" s="58"/>
      <c r="L20" s="58"/>
    </row>
    <row r="21" spans="1:12">
      <c r="A21" s="49" t="s">
        <v>12</v>
      </c>
      <c r="B21" s="90">
        <v>0.6</v>
      </c>
      <c r="C21" s="51" t="s">
        <v>94</v>
      </c>
      <c r="G21" s="58"/>
      <c r="H21" s="58"/>
      <c r="I21" s="58"/>
      <c r="J21" s="58"/>
      <c r="K21" s="58"/>
      <c r="L21" s="58"/>
    </row>
    <row r="22" spans="1:12">
      <c r="A22" s="49" t="s">
        <v>11</v>
      </c>
      <c r="B22" s="51">
        <v>0.71599999999999997</v>
      </c>
      <c r="C22" s="51" t="s">
        <v>24</v>
      </c>
      <c r="G22" s="58"/>
      <c r="H22" s="58"/>
      <c r="I22" s="58"/>
      <c r="J22" s="58"/>
      <c r="K22" s="58"/>
      <c r="L22" s="58"/>
    </row>
    <row r="23" spans="1:12">
      <c r="G23" s="58"/>
      <c r="H23" s="58"/>
      <c r="I23" s="58"/>
      <c r="J23" s="58"/>
      <c r="K23" s="58"/>
      <c r="L23" s="58"/>
    </row>
    <row r="24" spans="1:12">
      <c r="G24" s="58"/>
      <c r="H24" s="58"/>
      <c r="I24" s="58"/>
      <c r="J24" s="58"/>
      <c r="K24" s="58"/>
      <c r="L24" s="58"/>
    </row>
  </sheetData>
  <mergeCells count="6">
    <mergeCell ref="I6:J6"/>
    <mergeCell ref="A1:E4"/>
    <mergeCell ref="A6:A7"/>
    <mergeCell ref="B6:C6"/>
    <mergeCell ref="D6:E6"/>
    <mergeCell ref="G6:H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view="pageBreakPreview" zoomScale="96" zoomScaleNormal="100" zoomScaleSheetLayoutView="96" workbookViewId="0">
      <selection activeCell="H9" sqref="H9"/>
    </sheetView>
  </sheetViews>
  <sheetFormatPr defaultRowHeight="14.4"/>
  <cols>
    <col min="1" max="1" width="4.109375" style="63" customWidth="1"/>
    <col min="2" max="2" width="23.44140625" style="61" customWidth="1"/>
    <col min="3" max="3" width="23.33203125" style="61" customWidth="1"/>
    <col min="4" max="4" width="12.44140625" style="61" customWidth="1"/>
    <col min="5" max="5" width="11.33203125" style="63" customWidth="1"/>
    <col min="6" max="6" width="9.33203125" style="63" customWidth="1"/>
    <col min="7" max="7" width="7.33203125" style="63" customWidth="1"/>
    <col min="8" max="8" width="14.6640625" style="63" customWidth="1"/>
    <col min="9" max="9" width="7.6640625" style="63" customWidth="1"/>
    <col min="10" max="10" width="17.44140625" style="63" customWidth="1"/>
    <col min="11" max="11" width="9.33203125" style="63" customWidth="1"/>
    <col min="12" max="12" width="14.6640625" style="63" customWidth="1"/>
    <col min="13" max="13" width="13" style="63" customWidth="1"/>
    <col min="14" max="14" width="13.33203125" style="63" customWidth="1"/>
    <col min="15" max="16" width="11" style="63" customWidth="1"/>
    <col min="17" max="17" width="8.88671875" style="226"/>
    <col min="18" max="22" width="8.88671875" style="155"/>
  </cols>
  <sheetData>
    <row r="1" spans="1:17" ht="39" customHeight="1">
      <c r="A1" s="387" t="s">
        <v>21</v>
      </c>
      <c r="B1" s="386" t="s">
        <v>18</v>
      </c>
      <c r="C1" s="384" t="s">
        <v>165</v>
      </c>
      <c r="D1" s="386" t="s">
        <v>98</v>
      </c>
      <c r="E1" s="386" t="s">
        <v>22</v>
      </c>
      <c r="F1" s="387" t="s">
        <v>20</v>
      </c>
      <c r="G1" s="386" t="s">
        <v>88</v>
      </c>
      <c r="H1" s="192" t="s">
        <v>22</v>
      </c>
      <c r="I1" s="384" t="s">
        <v>14</v>
      </c>
      <c r="J1" s="192" t="s">
        <v>99</v>
      </c>
      <c r="K1" s="192" t="s">
        <v>100</v>
      </c>
      <c r="L1" s="192" t="s">
        <v>101</v>
      </c>
      <c r="M1" s="192" t="s">
        <v>19</v>
      </c>
      <c r="N1" s="192" t="s">
        <v>102</v>
      </c>
      <c r="O1" s="192" t="s">
        <v>103</v>
      </c>
      <c r="P1" s="306"/>
    </row>
    <row r="2" spans="1:17" ht="13.5" customHeight="1">
      <c r="A2" s="387"/>
      <c r="B2" s="386"/>
      <c r="C2" s="385"/>
      <c r="D2" s="386"/>
      <c r="E2" s="386"/>
      <c r="F2" s="387"/>
      <c r="G2" s="386"/>
      <c r="H2" s="191" t="s">
        <v>3</v>
      </c>
      <c r="I2" s="385"/>
      <c r="J2" s="191" t="s">
        <v>1</v>
      </c>
      <c r="K2" s="191" t="s">
        <v>2</v>
      </c>
      <c r="L2" s="191" t="s">
        <v>3</v>
      </c>
      <c r="M2" s="191" t="s">
        <v>1</v>
      </c>
      <c r="N2" s="191" t="s">
        <v>3</v>
      </c>
      <c r="O2" s="191" t="s">
        <v>3</v>
      </c>
      <c r="P2" s="307"/>
    </row>
    <row r="3" spans="1:17" ht="30.6" customHeight="1">
      <c r="A3" s="21">
        <v>1</v>
      </c>
      <c r="B3" s="302" t="s">
        <v>266</v>
      </c>
      <c r="C3" s="60" t="s">
        <v>267</v>
      </c>
      <c r="D3" s="202" t="s">
        <v>114</v>
      </c>
      <c r="E3" s="201">
        <v>9547</v>
      </c>
      <c r="F3" s="201" t="s">
        <v>25</v>
      </c>
      <c r="G3" s="201">
        <f>IF(D3="gaz ziemny",'Wskaźniki emisji 2015r'!$B$22,IF(D3="olej opałowy",'Wskaźniki emisji 2015r'!$B$18,IF(D3="LPG",'Wskaźniki emisji 2015r'!$B$21,)))</f>
        <v>0.71599999999999997</v>
      </c>
      <c r="H3" s="66">
        <f>IF(G3=0,E3,E3*G3/1000)</f>
        <v>6.8356519999999996</v>
      </c>
      <c r="I3" s="66">
        <f>IF(D3="węgiel kamienny",'Wskaźniki emisji 2010r'!$B$8,IF(D3="gaz ziemny",'Wskaźniki emisji 2010r'!$B$9,IF(D3="olej opałowy",'Wskaźniki emisji 2010r'!$B$10,IF(D3="biomasa",'Wskaźniki emisji 2010r'!$B$11,IF(D3="LPG",'Wskaźniki emisji 2010r'!$B$14,IF(D3="energia elektryczna",'Wskaźniki emisji 2010r'!$B$15,))))))</f>
        <v>13.296000000000001</v>
      </c>
      <c r="J3" s="66">
        <f t="shared" ref="J3:J12" si="0">H3*I3</f>
        <v>90.886828992000005</v>
      </c>
      <c r="K3" s="201">
        <f>IF(D3="węgiel kamienny",'Wskaźniki emisji 2010r'!$D$8,IF(D3="gaz ziemny",'Wskaźniki emisji 2010r'!$D$9,IF(D3="olej opałowy",'Wskaźniki emisji 2010r'!$D$10,IF(D3="biomasa",'Wskaźniki emisji 2010r'!$D$11,IF(D3="LPG",'Wskaźniki emisji 2010r'!$D$14,IF(D3="energia elektryczna",'Wskaźniki emisji 2010r'!$D$15,))))))</f>
        <v>0.24590308370044053</v>
      </c>
      <c r="L3" s="23">
        <f t="shared" ref="L3:L12" si="1">J3*K3</f>
        <v>22.349351516887403</v>
      </c>
      <c r="M3" s="224">
        <v>17.454999999999998</v>
      </c>
      <c r="N3" s="23">
        <f>M3*'Wskaźniki emisji 2010r'!$D$15</f>
        <v>14.17346</v>
      </c>
      <c r="O3" s="23">
        <f>N3+L3</f>
        <v>36.522811516887401</v>
      </c>
      <c r="P3" s="308"/>
      <c r="Q3" s="226" t="s">
        <v>194</v>
      </c>
    </row>
    <row r="4" spans="1:17" ht="57" customHeight="1">
      <c r="A4" s="21">
        <v>2</v>
      </c>
      <c r="B4" s="302" t="s">
        <v>268</v>
      </c>
      <c r="C4" s="60" t="s">
        <v>269</v>
      </c>
      <c r="D4" s="202" t="s">
        <v>114</v>
      </c>
      <c r="E4" s="201">
        <v>13798</v>
      </c>
      <c r="F4" s="201" t="s">
        <v>25</v>
      </c>
      <c r="G4" s="201">
        <f>IF(D4="gaz ziemny",'Wskaźniki emisji 2015r'!$B$22,IF(D4="olej opałowy",'Wskaźniki emisji 2015r'!$B$18,IF(D4="LPG",'Wskaźniki emisji 2015r'!$B$21,)))</f>
        <v>0.71599999999999997</v>
      </c>
      <c r="H4" s="66">
        <f t="shared" ref="H4:H12" si="2">IF(G4=0,E4,E4*G4/1000)</f>
        <v>9.8793680000000013</v>
      </c>
      <c r="I4" s="66">
        <f>IF(D4="węgiel kamienny",'Wskaźniki emisji 2010r'!$B$8,IF(D4="gaz ziemny",'Wskaźniki emisji 2010r'!$B$9,IF(D4="olej opałowy",'Wskaźniki emisji 2010r'!$B$10,IF(D4="biomasa",'Wskaźniki emisji 2010r'!$B$11,IF(D4="LPG",'Wskaźniki emisji 2010r'!$B$14,IF(D4="energia elektryczna",'Wskaźniki emisji 2010r'!$B$15,))))))</f>
        <v>13.296000000000001</v>
      </c>
      <c r="J4" s="66">
        <f t="shared" si="0"/>
        <v>131.35607692800002</v>
      </c>
      <c r="K4" s="201">
        <f>IF(D4="węgiel kamienny",'Wskaźniki emisji 2010r'!$D$8,IF(D4="gaz ziemny",'Wskaźniki emisji 2010r'!$D$9,IF(D4="olej opałowy",'Wskaźniki emisji 2010r'!$D$10,IF(D4="biomasa",'Wskaźniki emisji 2010r'!$D$11,IF(D4="LPG",'Wskaźniki emisji 2010r'!$D$14,IF(D4="energia elektryczna",'Wskaźniki emisji 2010r'!$D$15,))))))</f>
        <v>0.24590308370044053</v>
      </c>
      <c r="L4" s="23">
        <f t="shared" si="1"/>
        <v>32.300864379387498</v>
      </c>
      <c r="M4" s="224">
        <v>7.4589999999999996</v>
      </c>
      <c r="N4" s="23">
        <f>M4*'Wskaźniki emisji 2010r'!$D$15</f>
        <v>6.0567080000000004</v>
      </c>
      <c r="O4" s="23">
        <f t="shared" ref="O4:O12" si="3">N4+L4</f>
        <v>38.357572379387499</v>
      </c>
      <c r="P4" s="308" t="s">
        <v>270</v>
      </c>
    </row>
    <row r="5" spans="1:17" ht="30.6" customHeight="1">
      <c r="A5" s="21">
        <v>3</v>
      </c>
      <c r="B5" s="302" t="s">
        <v>273</v>
      </c>
      <c r="C5" s="60" t="s">
        <v>271</v>
      </c>
      <c r="D5" s="202" t="s">
        <v>114</v>
      </c>
      <c r="E5" s="201">
        <v>26620</v>
      </c>
      <c r="F5" s="201" t="s">
        <v>25</v>
      </c>
      <c r="G5" s="201">
        <f>IF(D5="gaz ziemny",'Wskaźniki emisji 2015r'!$B$22,IF(D5="olej opałowy",'Wskaźniki emisji 2015r'!$B$18,IF(D5="LPG",'Wskaźniki emisji 2015r'!$B$21,)))</f>
        <v>0.71599999999999997</v>
      </c>
      <c r="H5" s="66">
        <f t="shared" si="2"/>
        <v>19.059919999999998</v>
      </c>
      <c r="I5" s="66">
        <f>IF(D5="węgiel kamienny",'Wskaźniki emisji 2010r'!$B$8,IF(D5="gaz ziemny",'Wskaźniki emisji 2010r'!$B$9,IF(D5="olej opałowy",'Wskaźniki emisji 2010r'!$B$10,IF(D5="biomasa",'Wskaźniki emisji 2010r'!$B$11,IF(D5="LPG",'Wskaźniki emisji 2010r'!$B$14,IF(D5="energia elektryczna",'Wskaźniki emisji 2010r'!$B$15,))))))</f>
        <v>13.296000000000001</v>
      </c>
      <c r="J5" s="66">
        <f t="shared" si="0"/>
        <v>253.42069631999999</v>
      </c>
      <c r="K5" s="201">
        <f>IF(D5="węgiel kamienny",'Wskaźniki emisji 2010r'!$D$8,IF(D5="gaz ziemny",'Wskaźniki emisji 2010r'!$D$9,IF(D5="olej opałowy",'Wskaźniki emisji 2010r'!$D$10,IF(D5="biomasa",'Wskaźniki emisji 2010r'!$D$11,IF(D5="LPG",'Wskaźniki emisji 2010r'!$D$14,IF(D5="energia elektryczna",'Wskaźniki emisji 2010r'!$D$15,))))))</f>
        <v>0.24590308370044053</v>
      </c>
      <c r="L5" s="23">
        <f t="shared" si="1"/>
        <v>62.316930698600878</v>
      </c>
      <c r="M5" s="224">
        <v>32.5</v>
      </c>
      <c r="N5" s="23">
        <f>M5*'Wskaźniki emisji 2010r'!$D$15</f>
        <v>26.39</v>
      </c>
      <c r="O5" s="23">
        <f t="shared" si="3"/>
        <v>88.706930698600871</v>
      </c>
      <c r="P5" s="308" t="s">
        <v>272</v>
      </c>
    </row>
    <row r="6" spans="1:17" ht="30.6" customHeight="1">
      <c r="A6" s="21">
        <v>4</v>
      </c>
      <c r="B6" s="302" t="s">
        <v>274</v>
      </c>
      <c r="C6" s="60" t="s">
        <v>275</v>
      </c>
      <c r="D6" s="202" t="s">
        <v>114</v>
      </c>
      <c r="E6" s="201">
        <v>9957</v>
      </c>
      <c r="F6" s="201" t="s">
        <v>25</v>
      </c>
      <c r="G6" s="201">
        <f>IF(D6="gaz ziemny",'Wskaźniki emisji 2015r'!$B$22,IF(D6="olej opałowy",'Wskaźniki emisji 2015r'!$B$18,IF(D6="LPG",'Wskaźniki emisji 2015r'!$B$21,)))</f>
        <v>0.71599999999999997</v>
      </c>
      <c r="H6" s="66">
        <f t="shared" si="2"/>
        <v>7.1292119999999999</v>
      </c>
      <c r="I6" s="66">
        <f>IF(D6="węgiel kamienny",'Wskaźniki emisji 2010r'!$B$8,IF(D6="gaz ziemny",'Wskaźniki emisji 2010r'!$B$9,IF(D6="olej opałowy",'Wskaźniki emisji 2010r'!$B$10,IF(D6="biomasa",'Wskaźniki emisji 2010r'!$B$11,IF(D6="LPG",'Wskaźniki emisji 2010r'!$B$14,IF(D6="energia elektryczna",'Wskaźniki emisji 2010r'!$B$15,))))))</f>
        <v>13.296000000000001</v>
      </c>
      <c r="J6" s="66">
        <f t="shared" si="0"/>
        <v>94.790002752000007</v>
      </c>
      <c r="K6" s="201">
        <f>IF(D6="węgiel kamienny",'Wskaźniki emisji 2010r'!$D$8,IF(D6="gaz ziemny",'Wskaźniki emisji 2010r'!$D$9,IF(D6="olej opałowy",'Wskaźniki emisji 2010r'!$D$10,IF(D6="biomasa",'Wskaźniki emisji 2010r'!$D$11,IF(D6="LPG",'Wskaźniki emisji 2010r'!$D$14,IF(D6="energia elektryczna",'Wskaźniki emisji 2010r'!$D$15,))))))</f>
        <v>0.24590308370044053</v>
      </c>
      <c r="L6" s="23">
        <f t="shared" si="1"/>
        <v>23.309153980690045</v>
      </c>
      <c r="M6" s="224">
        <v>10.587</v>
      </c>
      <c r="N6" s="23">
        <f>M6*'Wskaźniki emisji 2010r'!$D$15</f>
        <v>8.5966439999999995</v>
      </c>
      <c r="O6" s="23">
        <f t="shared" si="3"/>
        <v>31.905797980690046</v>
      </c>
      <c r="P6" s="308"/>
    </row>
    <row r="7" spans="1:17" ht="33" customHeight="1">
      <c r="A7" s="21">
        <v>5</v>
      </c>
      <c r="B7" s="302" t="s">
        <v>276</v>
      </c>
      <c r="C7" s="60" t="s">
        <v>277</v>
      </c>
      <c r="D7" s="202" t="s">
        <v>114</v>
      </c>
      <c r="E7" s="201">
        <v>3242</v>
      </c>
      <c r="F7" s="301" t="s">
        <v>25</v>
      </c>
      <c r="G7" s="201">
        <f>IF(D7="gaz ziemny",'Wskaźniki emisji 2015r'!$B$22,IF(D7="olej opałowy",'Wskaźniki emisji 2015r'!$B$18,IF(D7="LPG",'Wskaźniki emisji 2015r'!$B$21,)))</f>
        <v>0.71599999999999997</v>
      </c>
      <c r="H7" s="66">
        <f t="shared" si="2"/>
        <v>2.321272</v>
      </c>
      <c r="I7" s="66">
        <f>IF(D7="węgiel kamienny",'Wskaźniki emisji 2010r'!$B$8,IF(D7="gaz ziemny",'Wskaźniki emisji 2010r'!$B$9,IF(D7="olej opałowy",'Wskaźniki emisji 2010r'!$B$10,IF(D7="biomasa",'Wskaźniki emisji 2010r'!$B$11,IF(D7="LPG",'Wskaźniki emisji 2010r'!$B$14,IF(D7="energia elektryczna",'Wskaźniki emisji 2010r'!$B$15,))))))</f>
        <v>13.296000000000001</v>
      </c>
      <c r="J7" s="66">
        <f t="shared" si="0"/>
        <v>30.863632512000002</v>
      </c>
      <c r="K7" s="201">
        <f>IF(D7="węgiel kamienny",'Wskaźniki emisji 2010r'!$D$8,IF(D7="gaz ziemny",'Wskaźniki emisji 2010r'!$D$9,IF(D7="olej opałowy",'Wskaźniki emisji 2010r'!$D$10,IF(D7="biomasa",'Wskaźniki emisji 2010r'!$D$11,IF(D7="LPG",'Wskaźniki emisji 2010r'!$D$14,IF(D7="energia elektryczna",'Wskaźniki emisji 2010r'!$D$15,))))))</f>
        <v>0.24590308370044053</v>
      </c>
      <c r="L7" s="23">
        <f t="shared" si="1"/>
        <v>7.5894624088979743</v>
      </c>
      <c r="M7" s="224">
        <v>2.1930000000000001</v>
      </c>
      <c r="N7" s="23">
        <f>M7*'Wskaźniki emisji 2010r'!$D$15</f>
        <v>1.7807160000000002</v>
      </c>
      <c r="O7" s="23">
        <f t="shared" si="3"/>
        <v>9.3701784088979743</v>
      </c>
      <c r="P7" s="308"/>
    </row>
    <row r="8" spans="1:17" ht="50.4" customHeight="1">
      <c r="A8" s="21">
        <v>6</v>
      </c>
      <c r="B8" s="302" t="s">
        <v>278</v>
      </c>
      <c r="C8" s="60" t="s">
        <v>279</v>
      </c>
      <c r="D8" s="202" t="s">
        <v>114</v>
      </c>
      <c r="E8" s="201">
        <v>50134</v>
      </c>
      <c r="F8" s="201" t="s">
        <v>25</v>
      </c>
      <c r="G8" s="201">
        <f>IF(D8="gaz ziemny",'Wskaźniki emisji 2015r'!$B$22,IF(D8="olej opałowy",'Wskaźniki emisji 2015r'!$B$18,IF(D8="LPG",'Wskaźniki emisji 2015r'!$B$21,)))</f>
        <v>0.71599999999999997</v>
      </c>
      <c r="H8" s="66">
        <f t="shared" si="2"/>
        <v>35.895943999999993</v>
      </c>
      <c r="I8" s="66">
        <f>IF(D8="węgiel kamienny",'Wskaźniki emisji 2010r'!$B$8,IF(D8="gaz ziemny",'Wskaźniki emisji 2010r'!$B$9,IF(D8="olej opałowy",'Wskaźniki emisji 2010r'!$B$10,IF(D8="biomasa",'Wskaźniki emisji 2010r'!$B$11,IF(D8="LPG",'Wskaźniki emisji 2010r'!$B$14,IF(D8="energia elektryczna",'Wskaźniki emisji 2010r'!$B$15,))))))</f>
        <v>13.296000000000001</v>
      </c>
      <c r="J8" s="66">
        <f t="shared" si="0"/>
        <v>477.27247142399995</v>
      </c>
      <c r="K8" s="201">
        <f>IF(D8="węgiel kamienny",'Wskaźniki emisji 2010r'!$D$8,IF(D8="gaz ziemny",'Wskaźniki emisji 2010r'!$D$9,IF(D8="olej opałowy",'Wskaźniki emisji 2010r'!$D$10,IF(D8="biomasa",'Wskaźniki emisji 2010r'!$D$11,IF(D8="LPG",'Wskaźniki emisji 2010r'!$D$14,IF(D8="energia elektryczna",'Wskaźniki emisji 2010r'!$D$15,))))))</f>
        <v>0.24590308370044053</v>
      </c>
      <c r="L8" s="23">
        <f t="shared" si="1"/>
        <v>117.36277248849197</v>
      </c>
      <c r="M8" s="224">
        <v>71.257999999999996</v>
      </c>
      <c r="N8" s="23">
        <f>M8*'Wskaźniki emisji 2010r'!$D$15</f>
        <v>57.861496000000002</v>
      </c>
      <c r="O8" s="23">
        <f t="shared" si="3"/>
        <v>175.22426848849199</v>
      </c>
      <c r="P8" s="308" t="s">
        <v>280</v>
      </c>
    </row>
    <row r="9" spans="1:17" ht="27.6">
      <c r="A9" s="21">
        <v>7</v>
      </c>
      <c r="B9" s="60" t="s">
        <v>281</v>
      </c>
      <c r="C9" s="60" t="s">
        <v>282</v>
      </c>
      <c r="D9" s="302" t="s">
        <v>114</v>
      </c>
      <c r="E9" s="21">
        <v>2000</v>
      </c>
      <c r="F9" s="301" t="s">
        <v>25</v>
      </c>
      <c r="G9" s="201">
        <f>IF(D9="gaz ziemny",'Wskaźniki emisji 2015r'!$B$22,IF(D9="olej opałowy",'Wskaźniki emisji 2015r'!$B$18,IF(D9="LPG",'Wskaźniki emisji 2015r'!$B$21,)))</f>
        <v>0.71599999999999997</v>
      </c>
      <c r="H9" s="66">
        <f t="shared" si="2"/>
        <v>1.4319999999999999</v>
      </c>
      <c r="I9" s="66">
        <f>IF(D9="węgiel kamienny",'Wskaźniki emisji 2010r'!$B$8,IF(D9="gaz ziemny",'Wskaźniki emisji 2010r'!$B$9,IF(D9="olej opałowy",'Wskaźniki emisji 2010r'!$B$10,IF(D9="biomasa",'Wskaźniki emisji 2010r'!$B$11,IF(D9="LPG",'Wskaźniki emisji 2010r'!$B$14,IF(D9="energia elektryczna",'Wskaźniki emisji 2010r'!$B$15,))))))</f>
        <v>13.296000000000001</v>
      </c>
      <c r="J9" s="66">
        <f t="shared" si="0"/>
        <v>19.039872000000003</v>
      </c>
      <c r="K9" s="201">
        <f>IF(D9="węgiel kamienny",'Wskaźniki emisji 2010r'!$D$8,IF(D9="gaz ziemny",'Wskaźniki emisji 2010r'!$D$9,IF(D9="olej opałowy",'Wskaźniki emisji 2010r'!$D$10,IF(D9="biomasa",'Wskaźniki emisji 2010r'!$D$11,IF(D9="LPG",'Wskaźniki emisji 2010r'!$D$14,IF(D9="energia elektryczna",'Wskaźniki emisji 2010r'!$D$15,))))))</f>
        <v>0.24590308370044053</v>
      </c>
      <c r="L9" s="23">
        <f t="shared" si="1"/>
        <v>4.6819632380616749</v>
      </c>
      <c r="M9" s="224">
        <v>7.7</v>
      </c>
      <c r="N9" s="23">
        <f>M9*'Wskaźniki emisji 2010r'!$D$15</f>
        <v>6.2524000000000006</v>
      </c>
      <c r="O9" s="23">
        <f t="shared" si="3"/>
        <v>10.934363238061675</v>
      </c>
      <c r="P9" s="308"/>
    </row>
    <row r="10" spans="1:17" ht="25.2" customHeight="1">
      <c r="A10" s="21">
        <v>8</v>
      </c>
      <c r="B10" s="60" t="s">
        <v>283</v>
      </c>
      <c r="C10" s="60" t="s">
        <v>284</v>
      </c>
      <c r="D10" s="302" t="s">
        <v>114</v>
      </c>
      <c r="E10" s="21">
        <v>1800</v>
      </c>
      <c r="F10" s="301" t="s">
        <v>25</v>
      </c>
      <c r="G10" s="201">
        <f>IF(D10="gaz ziemny",'Wskaźniki emisji 2015r'!$B$22,IF(D10="olej opałowy",'Wskaźniki emisji 2015r'!$B$18,IF(D10="LPG",'Wskaźniki emisji 2015r'!$B$21,)))</f>
        <v>0.71599999999999997</v>
      </c>
      <c r="H10" s="66">
        <f t="shared" si="2"/>
        <v>1.2887999999999999</v>
      </c>
      <c r="I10" s="66">
        <f>IF(D10="węgiel kamienny",'Wskaźniki emisji 2010r'!$B$8,IF(D10="gaz ziemny",'Wskaźniki emisji 2010r'!$B$9,IF(D10="olej opałowy",'Wskaźniki emisji 2010r'!$B$10,IF(D10="biomasa",'Wskaźniki emisji 2010r'!$B$11,IF(D10="LPG",'Wskaźniki emisji 2010r'!$B$14,IF(D10="energia elektryczna",'Wskaźniki emisji 2010r'!$B$15,))))))</f>
        <v>13.296000000000001</v>
      </c>
      <c r="J10" s="66">
        <f t="shared" si="0"/>
        <v>17.135884799999999</v>
      </c>
      <c r="K10" s="201">
        <f>IF(D10="węgiel kamienny",'Wskaźniki emisji 2010r'!$D$8,IF(D10="gaz ziemny",'Wskaźniki emisji 2010r'!$D$9,IF(D10="olej opałowy",'Wskaźniki emisji 2010r'!$D$10,IF(D10="biomasa",'Wskaźniki emisji 2010r'!$D$11,IF(D10="LPG",'Wskaźniki emisji 2010r'!$D$14,IF(D10="energia elektryczna",'Wskaźniki emisji 2010r'!$D$15,))))))</f>
        <v>0.24590308370044053</v>
      </c>
      <c r="L10" s="23">
        <f t="shared" si="1"/>
        <v>4.2137669142555065</v>
      </c>
      <c r="M10" s="224">
        <v>23</v>
      </c>
      <c r="N10" s="23">
        <f>M10*'Wskaźniki emisji 2010r'!$D$15</f>
        <v>18.676000000000002</v>
      </c>
      <c r="O10" s="23">
        <f t="shared" si="3"/>
        <v>22.88976691425551</v>
      </c>
      <c r="P10" s="308"/>
    </row>
    <row r="11" spans="1:17" ht="27.6">
      <c r="A11" s="21">
        <v>9</v>
      </c>
      <c r="B11" s="302" t="s">
        <v>283</v>
      </c>
      <c r="C11" s="60" t="s">
        <v>285</v>
      </c>
      <c r="D11" s="302" t="s">
        <v>114</v>
      </c>
      <c r="E11" s="21">
        <v>1800</v>
      </c>
      <c r="F11" s="301" t="s">
        <v>25</v>
      </c>
      <c r="G11" s="201">
        <f>IF(D11="gaz ziemny",'Wskaźniki emisji 2015r'!$B$22,IF(D11="olej opałowy",'Wskaźniki emisji 2015r'!$B$18,IF(D11="LPG",'Wskaźniki emisji 2015r'!$B$21,)))</f>
        <v>0.71599999999999997</v>
      </c>
      <c r="H11" s="66">
        <f t="shared" si="2"/>
        <v>1.2887999999999999</v>
      </c>
      <c r="I11" s="66">
        <f>IF(D11="węgiel kamienny",'Wskaźniki emisji 2010r'!$B$8,IF(D11="gaz ziemny",'Wskaźniki emisji 2010r'!$B$9,IF(D11="olej opałowy",'Wskaźniki emisji 2010r'!$B$10,IF(D11="biomasa",'Wskaźniki emisji 2010r'!$B$11,IF(D11="LPG",'Wskaźniki emisji 2010r'!$B$14,IF(D11="energia elektryczna",'Wskaźniki emisji 2010r'!$B$15,))))))</f>
        <v>13.296000000000001</v>
      </c>
      <c r="J11" s="66">
        <f t="shared" si="0"/>
        <v>17.135884799999999</v>
      </c>
      <c r="K11" s="201">
        <f>IF(D11="węgiel kamienny",'Wskaźniki emisji 2010r'!$D$8,IF(D11="gaz ziemny",'Wskaźniki emisji 2010r'!$D$9,IF(D11="olej opałowy",'Wskaźniki emisji 2010r'!$D$10,IF(D11="biomasa",'Wskaźniki emisji 2010r'!$D$11,IF(D11="LPG",'Wskaźniki emisji 2010r'!$D$14,IF(D11="energia elektryczna",'Wskaźniki emisji 2010r'!$D$15,))))))</f>
        <v>0.24590308370044053</v>
      </c>
      <c r="L11" s="23">
        <f t="shared" si="1"/>
        <v>4.2137669142555065</v>
      </c>
      <c r="M11" s="224">
        <v>3.6</v>
      </c>
      <c r="N11" s="23">
        <f>M11*'Wskaźniki emisji 2010r'!$D$15</f>
        <v>2.9232000000000005</v>
      </c>
      <c r="O11" s="23">
        <f t="shared" si="3"/>
        <v>7.136966914255507</v>
      </c>
      <c r="P11" s="308"/>
    </row>
    <row r="12" spans="1:17">
      <c r="A12" s="21">
        <v>10</v>
      </c>
      <c r="B12" s="302" t="s">
        <v>283</v>
      </c>
      <c r="C12" s="60" t="s">
        <v>286</v>
      </c>
      <c r="D12" s="302" t="s">
        <v>114</v>
      </c>
      <c r="E12" s="21">
        <v>1800</v>
      </c>
      <c r="F12" s="301" t="s">
        <v>25</v>
      </c>
      <c r="G12" s="201">
        <f>IF(D12="gaz ziemny",'Wskaźniki emisji 2015r'!$B$22,IF(D12="olej opałowy",'Wskaźniki emisji 2015r'!$B$18,IF(D12="LPG",'Wskaźniki emisji 2015r'!$B$21,)))</f>
        <v>0.71599999999999997</v>
      </c>
      <c r="H12" s="66">
        <f t="shared" si="2"/>
        <v>1.2887999999999999</v>
      </c>
      <c r="I12" s="66">
        <f>IF(D12="węgiel kamienny",'Wskaźniki emisji 2010r'!$B$8,IF(D12="gaz ziemny",'Wskaźniki emisji 2010r'!$B$9,IF(D12="olej opałowy",'Wskaźniki emisji 2010r'!$B$10,IF(D12="biomasa",'Wskaźniki emisji 2010r'!$B$11,IF(D12="LPG",'Wskaźniki emisji 2010r'!$B$14,IF(D12="energia elektryczna",'Wskaźniki emisji 2010r'!$B$15,))))))</f>
        <v>13.296000000000001</v>
      </c>
      <c r="J12" s="66">
        <f t="shared" si="0"/>
        <v>17.135884799999999</v>
      </c>
      <c r="K12" s="201">
        <f>IF(D12="węgiel kamienny",'Wskaźniki emisji 2010r'!$D$8,IF(D12="gaz ziemny",'Wskaźniki emisji 2010r'!$D$9,IF(D12="olej opałowy",'Wskaźniki emisji 2010r'!$D$10,IF(D12="biomasa",'Wskaźniki emisji 2010r'!$D$11,IF(D12="LPG",'Wskaźniki emisji 2010r'!$D$14,IF(D12="energia elektryczna",'Wskaźniki emisji 2010r'!$D$15,))))))</f>
        <v>0.24590308370044053</v>
      </c>
      <c r="L12" s="23">
        <f t="shared" si="1"/>
        <v>4.2137669142555065</v>
      </c>
      <c r="M12" s="224">
        <v>1.2</v>
      </c>
      <c r="N12" s="23">
        <f>M12*'Wskaźniki emisji 2010r'!$D$15</f>
        <v>0.97440000000000004</v>
      </c>
      <c r="O12" s="23">
        <f t="shared" si="3"/>
        <v>5.1881669142555067</v>
      </c>
      <c r="P12" s="308"/>
    </row>
    <row r="13" spans="1:17">
      <c r="B13" s="63"/>
      <c r="C13" s="63"/>
    </row>
    <row r="14" spans="1:17">
      <c r="B14" s="63"/>
      <c r="C14" s="63"/>
    </row>
    <row r="15" spans="1:17">
      <c r="B15" s="63"/>
      <c r="C15" s="63"/>
    </row>
    <row r="16" spans="1:17">
      <c r="B16" s="63"/>
      <c r="C16" s="63"/>
    </row>
    <row r="17" spans="2:3">
      <c r="B17" s="63"/>
      <c r="C17" s="63"/>
    </row>
    <row r="18" spans="2:3">
      <c r="B18" s="63"/>
      <c r="C18" s="63"/>
    </row>
    <row r="19" spans="2:3">
      <c r="B19" s="63"/>
      <c r="C19" s="63"/>
    </row>
    <row r="20" spans="2:3">
      <c r="B20" s="63"/>
      <c r="C20" s="63"/>
    </row>
    <row r="21" spans="2:3">
      <c r="B21" s="63"/>
      <c r="C21" s="63"/>
    </row>
    <row r="22" spans="2:3">
      <c r="B22" s="63"/>
      <c r="C22" s="63"/>
    </row>
    <row r="23" spans="2:3">
      <c r="B23" s="63"/>
      <c r="C23" s="63"/>
    </row>
  </sheetData>
  <mergeCells count="8">
    <mergeCell ref="I1:I2"/>
    <mergeCell ref="G1:G2"/>
    <mergeCell ref="A1:A2"/>
    <mergeCell ref="B1:B2"/>
    <mergeCell ref="D1:D2"/>
    <mergeCell ref="E1:E2"/>
    <mergeCell ref="F1:F2"/>
    <mergeCell ref="C1:C2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  <headerFooter differentFirst="1">
    <oddFooter>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view="pageBreakPreview" zoomScale="96" zoomScaleNormal="100" zoomScaleSheetLayoutView="96" workbookViewId="0">
      <selection activeCell="H8" sqref="H8"/>
    </sheetView>
  </sheetViews>
  <sheetFormatPr defaultRowHeight="14.4"/>
  <cols>
    <col min="1" max="1" width="4.109375" style="63" customWidth="1"/>
    <col min="2" max="3" width="23.44140625" style="61" customWidth="1"/>
    <col min="4" max="4" width="12.44140625" style="61" customWidth="1"/>
    <col min="5" max="5" width="11.33203125" style="63" customWidth="1"/>
    <col min="6" max="6" width="9.33203125" style="63" customWidth="1"/>
    <col min="7" max="7" width="7.33203125" style="63" customWidth="1"/>
    <col min="8" max="8" width="11.21875" style="63" customWidth="1"/>
    <col min="9" max="9" width="7.6640625" style="63" customWidth="1"/>
    <col min="10" max="10" width="13.109375" style="63" customWidth="1"/>
    <col min="11" max="11" width="9.33203125" style="63" customWidth="1"/>
    <col min="12" max="12" width="14.6640625" style="63" customWidth="1"/>
    <col min="13" max="13" width="13" style="63" customWidth="1"/>
    <col min="14" max="14" width="13.33203125" style="63" customWidth="1"/>
    <col min="15" max="15" width="11" style="63" customWidth="1"/>
    <col min="16" max="21" width="8.88671875" style="155"/>
  </cols>
  <sheetData>
    <row r="1" spans="1:15" ht="39" customHeight="1">
      <c r="A1" s="387" t="s">
        <v>21</v>
      </c>
      <c r="B1" s="386" t="s">
        <v>18</v>
      </c>
      <c r="C1" s="384" t="s">
        <v>165</v>
      </c>
      <c r="D1" s="386" t="s">
        <v>98</v>
      </c>
      <c r="E1" s="386" t="s">
        <v>22</v>
      </c>
      <c r="F1" s="387" t="s">
        <v>20</v>
      </c>
      <c r="G1" s="386" t="s">
        <v>88</v>
      </c>
      <c r="H1" s="192" t="s">
        <v>22</v>
      </c>
      <c r="I1" s="384" t="s">
        <v>14</v>
      </c>
      <c r="J1" s="192" t="s">
        <v>99</v>
      </c>
      <c r="K1" s="192" t="s">
        <v>100</v>
      </c>
      <c r="L1" s="192" t="s">
        <v>101</v>
      </c>
      <c r="M1" s="192" t="s">
        <v>19</v>
      </c>
      <c r="N1" s="192" t="s">
        <v>102</v>
      </c>
      <c r="O1" s="192" t="s">
        <v>103</v>
      </c>
    </row>
    <row r="2" spans="1:15" ht="13.5" customHeight="1">
      <c r="A2" s="387"/>
      <c r="B2" s="386"/>
      <c r="C2" s="385"/>
      <c r="D2" s="386"/>
      <c r="E2" s="386"/>
      <c r="F2" s="387"/>
      <c r="G2" s="386"/>
      <c r="H2" s="191" t="s">
        <v>3</v>
      </c>
      <c r="I2" s="385"/>
      <c r="J2" s="191" t="s">
        <v>1</v>
      </c>
      <c r="K2" s="191" t="s">
        <v>2</v>
      </c>
      <c r="L2" s="191" t="s">
        <v>3</v>
      </c>
      <c r="M2" s="191" t="s">
        <v>1</v>
      </c>
      <c r="N2" s="191" t="s">
        <v>3</v>
      </c>
      <c r="O2" s="191" t="s">
        <v>3</v>
      </c>
    </row>
    <row r="3" spans="1:15" ht="31.2" customHeight="1">
      <c r="A3" s="21">
        <v>1</v>
      </c>
      <c r="B3" s="302" t="s">
        <v>266</v>
      </c>
      <c r="C3" s="302" t="s">
        <v>267</v>
      </c>
      <c r="D3" s="302" t="s">
        <v>114</v>
      </c>
      <c r="E3" s="21">
        <v>5722</v>
      </c>
      <c r="F3" s="201" t="s">
        <v>3</v>
      </c>
      <c r="G3" s="201">
        <f>IF(D3="gaz ziemny",'Wskaźniki emisji 2015r'!$B$22,IF(D3="olej opałowy",'Wskaźniki emisji 2015r'!$B$18,IF(D3="LPG",'Wskaźniki emisji 2015r'!$B$21,)))</f>
        <v>0.71599999999999997</v>
      </c>
      <c r="H3" s="66">
        <f>IF(G3=0,E3,E3*G3/1000)</f>
        <v>4.0969519999999999</v>
      </c>
      <c r="I3" s="66">
        <f>IF(D3="węgiel kamienny",'Wskaźniki emisji 2015r'!$B$8,IF(D3="gaz ziemny",'Wskaźniki emisji 2015r'!$B$9,IF(D3="olej opałowy",'Wskaźniki emisji 2015r'!$B$10,IF(D3="biomasa",'Wskaźniki emisji 2015r'!$B$11,IF(D3="LPG",'Wskaźniki emisji 2015r'!$B$14,IF(D3="energia elektryczna",'Wskaźniki emisji 2015r'!$B$15,))))))</f>
        <v>13.296000000000001</v>
      </c>
      <c r="J3" s="66">
        <f>H3*I3</f>
        <v>54.473073792000001</v>
      </c>
      <c r="K3" s="201">
        <f>IF(D3="węgiel kamienny",'Wskaźniki emisji 2015r'!$D$8,IF(D3="gaz ziemny",'Wskaźniki emisji 2015r'!$D$9,IF(D3="olej opałowy",'Wskaźniki emisji 2015r'!$D$10,IF(D3="biomasa",'Wskaźniki emisji 2015r'!$D$11,IF(D3="LPG",'Wskaźniki emisji 2015r'!$D$14,IF(D3="energia elektryczna",'Wskaźniki emisji 2015r'!$D$15,))))))</f>
        <v>0.2015162454873646</v>
      </c>
      <c r="L3" s="23">
        <f>J3*K3</f>
        <v>10.977209310719999</v>
      </c>
      <c r="M3" s="224">
        <v>15.65</v>
      </c>
      <c r="N3" s="23">
        <f>M3*'Wskaźniki emisji 2015r'!$D$15</f>
        <v>12.707800000000001</v>
      </c>
      <c r="O3" s="23">
        <f>N3+L3</f>
        <v>23.685009310719998</v>
      </c>
    </row>
    <row r="4" spans="1:15" ht="51.6" customHeight="1">
      <c r="A4" s="21">
        <v>2</v>
      </c>
      <c r="B4" s="302" t="s">
        <v>268</v>
      </c>
      <c r="C4" s="302" t="s">
        <v>269</v>
      </c>
      <c r="D4" s="302" t="s">
        <v>114</v>
      </c>
      <c r="E4" s="21">
        <v>13149</v>
      </c>
      <c r="F4" s="201" t="s">
        <v>3</v>
      </c>
      <c r="G4" s="201">
        <f>IF(D4="gaz ziemny",'Wskaźniki emisji 2015r'!$B$22,IF(D4="olej opałowy",'Wskaźniki emisji 2015r'!$B$18,IF(D4="LPG",'Wskaźniki emisji 2015r'!$B$21,)))</f>
        <v>0.71599999999999997</v>
      </c>
      <c r="H4" s="66">
        <f>IF(G4=0,E4,E4*G4/1000)</f>
        <v>9.4146839999999994</v>
      </c>
      <c r="I4" s="66">
        <f>IF(D4="węgiel kamienny",'Wskaźniki emisji 2015r'!$B$8,IF(D4="gaz ziemny",'Wskaźniki emisji 2015r'!$B$9,IF(D4="olej opałowy",'Wskaźniki emisji 2015r'!$B$10,IF(D4="biomasa",'Wskaźniki emisji 2015r'!$B$11,IF(D4="LPG",'Wskaźniki emisji 2015r'!$B$14,IF(D4="energia elektryczna",'Wskaźniki emisji 2015r'!$B$15,))))))</f>
        <v>13.296000000000001</v>
      </c>
      <c r="J4" s="66">
        <f t="shared" ref="J4:J12" si="0">H4*I4</f>
        <v>125.177638464</v>
      </c>
      <c r="K4" s="201">
        <f>IF(D4="węgiel kamienny",'Wskaźniki emisji 2015r'!$D$8,IF(D4="gaz ziemny",'Wskaźniki emisji 2015r'!$D$9,IF(D4="olej opałowy",'Wskaźniki emisji 2015r'!$D$10,IF(D4="biomasa",'Wskaźniki emisji 2015r'!$D$11,IF(D4="LPG",'Wskaźniki emisji 2015r'!$D$14,IF(D4="energia elektryczna",'Wskaźniki emisji 2015r'!$D$15,))))))</f>
        <v>0.2015162454873646</v>
      </c>
      <c r="L4" s="23">
        <f t="shared" ref="L4:L12" si="1">J4*K4</f>
        <v>25.225327722239996</v>
      </c>
      <c r="M4" s="224">
        <v>10.247999999999999</v>
      </c>
      <c r="N4" s="23">
        <f>M4*'Wskaźniki emisji 2015r'!$D$15</f>
        <v>8.3213760000000008</v>
      </c>
      <c r="O4" s="23">
        <f t="shared" ref="O4:O12" si="2">N4+L4</f>
        <v>33.546703722239997</v>
      </c>
    </row>
    <row r="5" spans="1:15" ht="43.8" customHeight="1">
      <c r="A5" s="21">
        <v>3</v>
      </c>
      <c r="B5" s="302" t="s">
        <v>273</v>
      </c>
      <c r="C5" s="302" t="s">
        <v>271</v>
      </c>
      <c r="D5" s="302" t="s">
        <v>114</v>
      </c>
      <c r="E5" s="21">
        <v>17081</v>
      </c>
      <c r="F5" s="201" t="s">
        <v>3</v>
      </c>
      <c r="G5" s="201">
        <f>IF(D5="gaz ziemny",'Wskaźniki emisji 2015r'!$B$22,IF(D5="olej opałowy",'Wskaźniki emisji 2015r'!$B$18,IF(D5="LPG",'Wskaźniki emisji 2015r'!$B$21,)))</f>
        <v>0.71599999999999997</v>
      </c>
      <c r="H5" s="66">
        <f t="shared" ref="H5:H12" si="3">IF(G5=0,E5,E5*G5/1000)</f>
        <v>12.229996</v>
      </c>
      <c r="I5" s="66">
        <f>IF(D5="węgiel kamienny",'Wskaźniki emisji 2015r'!$B$8,IF(D5="gaz ziemny",'Wskaźniki emisji 2015r'!$B$9,IF(D5="olej opałowy",'Wskaźniki emisji 2015r'!$B$10,IF(D5="biomasa",'Wskaźniki emisji 2015r'!$B$11,IF(D5="LPG",'Wskaźniki emisji 2015r'!$B$14,IF(D5="energia elektryczna",'Wskaźniki emisji 2015r'!$B$15,))))))</f>
        <v>13.296000000000001</v>
      </c>
      <c r="J5" s="66">
        <f t="shared" si="0"/>
        <v>162.61002681600002</v>
      </c>
      <c r="K5" s="201">
        <f>IF(D5="węgiel kamienny",'Wskaźniki emisji 2015r'!$D$8,IF(D5="gaz ziemny",'Wskaźniki emisji 2015r'!$D$9,IF(D5="olej opałowy",'Wskaźniki emisji 2015r'!$D$10,IF(D5="biomasa",'Wskaźniki emisji 2015r'!$D$11,IF(D5="LPG",'Wskaźniki emisji 2015r'!$D$14,IF(D5="energia elektryczna",'Wskaźniki emisji 2015r'!$D$15,))))))</f>
        <v>0.2015162454873646</v>
      </c>
      <c r="L5" s="23">
        <f t="shared" si="1"/>
        <v>32.768562082560003</v>
      </c>
      <c r="M5" s="224">
        <v>26.762</v>
      </c>
      <c r="N5" s="23">
        <f>M5*'Wskaźniki emisji 2015r'!$D$15</f>
        <v>21.730744000000001</v>
      </c>
      <c r="O5" s="23">
        <f t="shared" si="2"/>
        <v>54.499306082560004</v>
      </c>
    </row>
    <row r="6" spans="1:15" ht="30.6" customHeight="1">
      <c r="A6" s="21">
        <v>4</v>
      </c>
      <c r="B6" s="302" t="s">
        <v>274</v>
      </c>
      <c r="C6" s="302" t="s">
        <v>275</v>
      </c>
      <c r="D6" s="302" t="s">
        <v>114</v>
      </c>
      <c r="E6" s="21">
        <v>9957</v>
      </c>
      <c r="F6" s="201" t="s">
        <v>3</v>
      </c>
      <c r="G6" s="201">
        <f>IF(D6="gaz ziemny",'Wskaźniki emisji 2015r'!$B$22,IF(D6="olej opałowy",'Wskaźniki emisji 2015r'!$B$18,IF(D6="LPG",'Wskaźniki emisji 2015r'!$B$21,)))</f>
        <v>0.71599999999999997</v>
      </c>
      <c r="H6" s="66">
        <f t="shared" si="3"/>
        <v>7.1292119999999999</v>
      </c>
      <c r="I6" s="66">
        <f>IF(D6="węgiel kamienny",'Wskaźniki emisji 2015r'!$B$8,IF(D6="gaz ziemny",'Wskaźniki emisji 2015r'!$B$9,IF(D6="olej opałowy",'Wskaźniki emisji 2015r'!$B$10,IF(D6="biomasa",'Wskaźniki emisji 2015r'!$B$11,IF(D6="LPG",'Wskaźniki emisji 2015r'!$B$14,IF(D6="energia elektryczna",'Wskaźniki emisji 2015r'!$B$15,))))))</f>
        <v>13.296000000000001</v>
      </c>
      <c r="J6" s="66">
        <f t="shared" si="0"/>
        <v>94.790002752000007</v>
      </c>
      <c r="K6" s="201">
        <f>IF(D6="węgiel kamienny",'Wskaźniki emisji 2015r'!$D$8,IF(D6="gaz ziemny",'Wskaźniki emisji 2015r'!$D$9,IF(D6="olej opałowy",'Wskaźniki emisji 2015r'!$D$10,IF(D6="biomasa",'Wskaźniki emisji 2015r'!$D$11,IF(D6="LPG",'Wskaźniki emisji 2015r'!$D$14,IF(D6="energia elektryczna",'Wskaźniki emisji 2015r'!$D$15,))))))</f>
        <v>0.2015162454873646</v>
      </c>
      <c r="L6" s="23">
        <f t="shared" si="1"/>
        <v>19.101725464320001</v>
      </c>
      <c r="M6" s="225">
        <v>10.587</v>
      </c>
      <c r="N6" s="23">
        <f>M6*'Wskaźniki emisji 2015r'!$D$15</f>
        <v>8.5966439999999995</v>
      </c>
      <c r="O6" s="23">
        <f t="shared" si="2"/>
        <v>27.698369464320002</v>
      </c>
    </row>
    <row r="7" spans="1:15" ht="30.6" customHeight="1">
      <c r="A7" s="21">
        <v>5</v>
      </c>
      <c r="B7" s="302" t="s">
        <v>276</v>
      </c>
      <c r="C7" s="302" t="s">
        <v>277</v>
      </c>
      <c r="D7" s="302" t="s">
        <v>114</v>
      </c>
      <c r="E7" s="21">
        <v>3242</v>
      </c>
      <c r="F7" s="201" t="s">
        <v>3</v>
      </c>
      <c r="G7" s="201">
        <f>IF(D7="gaz ziemny",'Wskaźniki emisji 2015r'!$B$22,IF(D7="olej opałowy",'Wskaźniki emisji 2015r'!$B$18,IF(D7="LPG",'Wskaźniki emisji 2015r'!$B$21,)))</f>
        <v>0.71599999999999997</v>
      </c>
      <c r="H7" s="66">
        <f t="shared" si="3"/>
        <v>2.321272</v>
      </c>
      <c r="I7" s="66">
        <f>IF(D7="węgiel kamienny",'Wskaźniki emisji 2015r'!$B$8,IF(D7="gaz ziemny",'Wskaźniki emisji 2015r'!$B$9,IF(D7="olej opałowy",'Wskaźniki emisji 2015r'!$B$10,IF(D7="biomasa",'Wskaźniki emisji 2015r'!$B$11,IF(D7="LPG",'Wskaźniki emisji 2015r'!$B$14,IF(D7="energia elektryczna",'Wskaźniki emisji 2015r'!$B$15,))))))</f>
        <v>13.296000000000001</v>
      </c>
      <c r="J7" s="66">
        <f t="shared" si="0"/>
        <v>30.863632512000002</v>
      </c>
      <c r="K7" s="201">
        <f>IF(D7="węgiel kamienny",'Wskaźniki emisji 2015r'!$D$8,IF(D7="gaz ziemny",'Wskaźniki emisji 2015r'!$D$9,IF(D7="olej opałowy",'Wskaźniki emisji 2015r'!$D$10,IF(D7="biomasa",'Wskaźniki emisji 2015r'!$D$11,IF(D7="LPG",'Wskaźniki emisji 2015r'!$D$14,IF(D7="energia elektryczna",'Wskaźniki emisji 2015r'!$D$15,))))))</f>
        <v>0.2015162454873646</v>
      </c>
      <c r="L7" s="23">
        <f t="shared" si="1"/>
        <v>6.2195233459199999</v>
      </c>
      <c r="M7" s="224">
        <v>2.1930000000000001</v>
      </c>
      <c r="N7" s="23">
        <f>M7*'Wskaźniki emisji 2015r'!$D$15</f>
        <v>1.7807160000000002</v>
      </c>
      <c r="O7" s="23">
        <f t="shared" si="2"/>
        <v>8.0002393459200007</v>
      </c>
    </row>
    <row r="8" spans="1:15" ht="47.4" customHeight="1">
      <c r="A8" s="21">
        <v>5</v>
      </c>
      <c r="B8" s="302" t="s">
        <v>278</v>
      </c>
      <c r="C8" s="302" t="s">
        <v>279</v>
      </c>
      <c r="D8" s="302" t="s">
        <v>114</v>
      </c>
      <c r="E8" s="21">
        <v>47128</v>
      </c>
      <c r="F8" s="201" t="s">
        <v>3</v>
      </c>
      <c r="G8" s="201">
        <f>IF(D8="gaz ziemny",'Wskaźniki emisji 2015r'!$B$22,IF(D8="olej opałowy",'Wskaźniki emisji 2015r'!$B$18,IF(D8="LPG",'Wskaźniki emisji 2015r'!$B$21,)))</f>
        <v>0.71599999999999997</v>
      </c>
      <c r="H8" s="66">
        <f t="shared" si="3"/>
        <v>33.743648</v>
      </c>
      <c r="I8" s="66">
        <f>IF(D8="węgiel kamienny",'Wskaźniki emisji 2015r'!$B$8,IF(D8="gaz ziemny",'Wskaźniki emisji 2015r'!$B$9,IF(D8="olej opałowy",'Wskaźniki emisji 2015r'!$B$10,IF(D8="biomasa",'Wskaźniki emisji 2015r'!$B$11,IF(D8="LPG",'Wskaźniki emisji 2015r'!$B$14,IF(D8="energia elektryczna",'Wskaźniki emisji 2015r'!$B$15,))))))</f>
        <v>13.296000000000001</v>
      </c>
      <c r="J8" s="66">
        <f t="shared" si="0"/>
        <v>448.65554380800006</v>
      </c>
      <c r="K8" s="201">
        <f>IF(D8="węgiel kamienny",'Wskaźniki emisji 2015r'!$D$8,IF(D8="gaz ziemny",'Wskaźniki emisji 2015r'!$D$9,IF(D8="olej opałowy",'Wskaźniki emisji 2015r'!$D$10,IF(D8="biomasa",'Wskaźniki emisji 2015r'!$D$11,IF(D8="LPG",'Wskaźniki emisji 2015r'!$D$14,IF(D8="energia elektryczna",'Wskaźniki emisji 2015r'!$D$15,))))))</f>
        <v>0.2015162454873646</v>
      </c>
      <c r="L8" s="23">
        <f t="shared" si="1"/>
        <v>90.41138070528001</v>
      </c>
      <c r="M8" s="225">
        <v>75.403000000000006</v>
      </c>
      <c r="N8" s="23">
        <f>M8*'Wskaźniki emisji 2015r'!$D$15</f>
        <v>61.227236000000012</v>
      </c>
      <c r="O8" s="23">
        <f t="shared" si="2"/>
        <v>151.63861670528001</v>
      </c>
    </row>
    <row r="9" spans="1:15" ht="31.2" customHeight="1">
      <c r="A9" s="21">
        <v>6</v>
      </c>
      <c r="B9" s="302" t="s">
        <v>281</v>
      </c>
      <c r="C9" s="302" t="s">
        <v>282</v>
      </c>
      <c r="D9" s="302" t="s">
        <v>114</v>
      </c>
      <c r="E9" s="21">
        <f>'Obiekty publiczne 2010r'!E9</f>
        <v>2000</v>
      </c>
      <c r="F9" s="201" t="s">
        <v>3</v>
      </c>
      <c r="G9" s="201">
        <f>IF(D9="gaz ziemny",'Wskaźniki emisji 2015r'!$B$22,IF(D9="olej opałowy",'Wskaźniki emisji 2015r'!$B$18,IF(D9="LPG",'Wskaźniki emisji 2015r'!$B$21,)))</f>
        <v>0.71599999999999997</v>
      </c>
      <c r="H9" s="66">
        <f t="shared" si="3"/>
        <v>1.4319999999999999</v>
      </c>
      <c r="I9" s="66">
        <f>IF(D9="węgiel kamienny",'Wskaźniki emisji 2015r'!$B$8,IF(D9="gaz ziemny",'Wskaźniki emisji 2015r'!$B$9,IF(D9="olej opałowy",'Wskaźniki emisji 2015r'!$B$10,IF(D9="biomasa",'Wskaźniki emisji 2015r'!$B$11,IF(D9="LPG",'Wskaźniki emisji 2015r'!$B$14,IF(D9="energia elektryczna",'Wskaźniki emisji 2015r'!$B$15,))))))</f>
        <v>13.296000000000001</v>
      </c>
      <c r="J9" s="66">
        <f t="shared" si="0"/>
        <v>19.039872000000003</v>
      </c>
      <c r="K9" s="201">
        <f>IF(D9="węgiel kamienny",'Wskaźniki emisji 2015r'!$D$8,IF(D9="gaz ziemny",'Wskaźniki emisji 2015r'!$D$9,IF(D9="olej opałowy",'Wskaźniki emisji 2015r'!$D$10,IF(D9="biomasa",'Wskaźniki emisji 2015r'!$D$11,IF(D9="LPG",'Wskaźniki emisji 2015r'!$D$14,IF(D9="energia elektryczna",'Wskaźniki emisji 2015r'!$D$15,))))))</f>
        <v>0.2015162454873646</v>
      </c>
      <c r="L9" s="23">
        <f t="shared" si="1"/>
        <v>3.8368435200000004</v>
      </c>
      <c r="M9" s="225">
        <v>4.8</v>
      </c>
      <c r="N9" s="23">
        <f>M9*'Wskaźniki emisji 2015r'!$D$15</f>
        <v>3.8976000000000002</v>
      </c>
      <c r="O9" s="23">
        <f t="shared" si="2"/>
        <v>7.734443520000001</v>
      </c>
    </row>
    <row r="10" spans="1:15" ht="27.6">
      <c r="A10" s="21">
        <v>7</v>
      </c>
      <c r="B10" s="302" t="s">
        <v>283</v>
      </c>
      <c r="C10" s="302" t="s">
        <v>284</v>
      </c>
      <c r="D10" s="302" t="s">
        <v>114</v>
      </c>
      <c r="E10" s="21">
        <f>'Obiekty publiczne 2010r'!E10</f>
        <v>1800</v>
      </c>
      <c r="F10" s="201" t="s">
        <v>3</v>
      </c>
      <c r="G10" s="201">
        <f>IF(D10="gaz ziemny",'Wskaźniki emisji 2015r'!$B$22,IF(D10="olej opałowy",'Wskaźniki emisji 2015r'!$B$18,IF(D10="LPG",'Wskaźniki emisji 2015r'!$B$21,)))</f>
        <v>0.71599999999999997</v>
      </c>
      <c r="H10" s="66">
        <f t="shared" si="3"/>
        <v>1.2887999999999999</v>
      </c>
      <c r="I10" s="66">
        <f>IF(D10="węgiel kamienny",'Wskaźniki emisji 2015r'!$B$8,IF(D10="gaz ziemny",'Wskaźniki emisji 2015r'!$B$9,IF(D10="olej opałowy",'Wskaźniki emisji 2015r'!$B$10,IF(D10="biomasa",'Wskaźniki emisji 2015r'!$B$11,IF(D10="LPG",'Wskaźniki emisji 2015r'!$B$14,IF(D10="energia elektryczna",'Wskaźniki emisji 2015r'!$B$15,))))))</f>
        <v>13.296000000000001</v>
      </c>
      <c r="J10" s="66">
        <f t="shared" si="0"/>
        <v>17.135884799999999</v>
      </c>
      <c r="K10" s="201">
        <f>IF(D10="węgiel kamienny",'Wskaźniki emisji 2015r'!$D$8,IF(D10="gaz ziemny",'Wskaźniki emisji 2015r'!$D$9,IF(D10="olej opałowy",'Wskaźniki emisji 2015r'!$D$10,IF(D10="biomasa",'Wskaźniki emisji 2015r'!$D$11,IF(D10="LPG",'Wskaźniki emisji 2015r'!$D$14,IF(D10="energia elektryczna",'Wskaźniki emisji 2015r'!$D$15,))))))</f>
        <v>0.2015162454873646</v>
      </c>
      <c r="L10" s="23">
        <f t="shared" si="1"/>
        <v>3.4531591679999996</v>
      </c>
      <c r="M10" s="225">
        <f>0.6+4.8</f>
        <v>5.3999999999999995</v>
      </c>
      <c r="N10" s="23">
        <f>M10*'Wskaźniki emisji 2015r'!$D$15</f>
        <v>4.3848000000000003</v>
      </c>
      <c r="O10" s="23">
        <f t="shared" si="2"/>
        <v>7.8379591679999994</v>
      </c>
    </row>
    <row r="11" spans="1:15" ht="25.2" customHeight="1">
      <c r="A11" s="21">
        <v>8</v>
      </c>
      <c r="B11" s="302" t="s">
        <v>283</v>
      </c>
      <c r="C11" s="302" t="s">
        <v>285</v>
      </c>
      <c r="D11" s="302" t="s">
        <v>114</v>
      </c>
      <c r="E11" s="21">
        <f>'Obiekty publiczne 2010r'!E11</f>
        <v>1800</v>
      </c>
      <c r="F11" s="201" t="s">
        <v>3</v>
      </c>
      <c r="G11" s="201">
        <f>IF(D11="gaz ziemny",'Wskaźniki emisji 2015r'!$B$22,IF(D11="olej opałowy",'Wskaźniki emisji 2015r'!$B$18,IF(D11="LPG",'Wskaźniki emisji 2015r'!$B$21,)))</f>
        <v>0.71599999999999997</v>
      </c>
      <c r="H11" s="66">
        <f t="shared" si="3"/>
        <v>1.2887999999999999</v>
      </c>
      <c r="I11" s="66">
        <f>IF(D11="węgiel kamienny",'Wskaźniki emisji 2015r'!$B$8,IF(D11="gaz ziemny",'Wskaźniki emisji 2015r'!$B$9,IF(D11="olej opałowy",'Wskaźniki emisji 2015r'!$B$10,IF(D11="biomasa",'Wskaźniki emisji 2015r'!$B$11,IF(D11="LPG",'Wskaźniki emisji 2015r'!$B$14,IF(D11="energia elektryczna",'Wskaźniki emisji 2015r'!$B$15,))))))</f>
        <v>13.296000000000001</v>
      </c>
      <c r="J11" s="66">
        <f t="shared" si="0"/>
        <v>17.135884799999999</v>
      </c>
      <c r="K11" s="201">
        <f>IF(D11="węgiel kamienny",'Wskaźniki emisji 2015r'!$D$8,IF(D11="gaz ziemny",'Wskaźniki emisji 2015r'!$D$9,IF(D11="olej opałowy",'Wskaźniki emisji 2015r'!$D$10,IF(D11="biomasa",'Wskaźniki emisji 2015r'!$D$11,IF(D11="LPG",'Wskaźniki emisji 2015r'!$D$14,IF(D11="energia elektryczna",'Wskaźniki emisji 2015r'!$D$15,))))))</f>
        <v>0.2015162454873646</v>
      </c>
      <c r="L11" s="23">
        <f t="shared" si="1"/>
        <v>3.4531591679999996</v>
      </c>
      <c r="M11" s="225">
        <v>10.8</v>
      </c>
      <c r="N11" s="23">
        <f>M11*'Wskaźniki emisji 2015r'!$D$15</f>
        <v>8.7696000000000005</v>
      </c>
      <c r="O11" s="23">
        <f t="shared" si="2"/>
        <v>12.222759168</v>
      </c>
    </row>
    <row r="12" spans="1:15">
      <c r="A12" s="21">
        <v>9</v>
      </c>
      <c r="B12" s="302" t="s">
        <v>283</v>
      </c>
      <c r="C12" s="302" t="s">
        <v>286</v>
      </c>
      <c r="D12" s="302" t="s">
        <v>114</v>
      </c>
      <c r="E12" s="21">
        <f>'Obiekty publiczne 2010r'!E12</f>
        <v>1800</v>
      </c>
      <c r="F12" s="201" t="s">
        <v>3</v>
      </c>
      <c r="G12" s="201">
        <f>IF(D12="gaz ziemny",'Wskaźniki emisji 2015r'!$B$22,IF(D12="olej opałowy",'Wskaźniki emisji 2015r'!$B$18,IF(D12="LPG",'Wskaźniki emisji 2015r'!$B$21,)))</f>
        <v>0.71599999999999997</v>
      </c>
      <c r="H12" s="66">
        <f t="shared" si="3"/>
        <v>1.2887999999999999</v>
      </c>
      <c r="I12" s="66">
        <f>IF(D12="węgiel kamienny",'Wskaźniki emisji 2015r'!$B$8,IF(D12="gaz ziemny",'Wskaźniki emisji 2015r'!$B$9,IF(D12="olej opałowy",'Wskaźniki emisji 2015r'!$B$10,IF(D12="biomasa",'Wskaźniki emisji 2015r'!$B$11,IF(D12="LPG",'Wskaźniki emisji 2015r'!$B$14,IF(D12="energia elektryczna",'Wskaźniki emisji 2015r'!$B$15,))))))</f>
        <v>13.296000000000001</v>
      </c>
      <c r="J12" s="66">
        <f t="shared" si="0"/>
        <v>17.135884799999999</v>
      </c>
      <c r="K12" s="201">
        <f>IF(D12="węgiel kamienny",'Wskaźniki emisji 2015r'!$D$8,IF(D12="gaz ziemny",'Wskaźniki emisji 2015r'!$D$9,IF(D12="olej opałowy",'Wskaźniki emisji 2015r'!$D$10,IF(D12="biomasa",'Wskaźniki emisji 2015r'!$D$11,IF(D12="LPG",'Wskaźniki emisji 2015r'!$D$14,IF(D12="energia elektryczna",'Wskaźniki emisji 2015r'!$D$15,))))))</f>
        <v>0.2015162454873646</v>
      </c>
      <c r="L12" s="23">
        <f t="shared" si="1"/>
        <v>3.4531591679999996</v>
      </c>
      <c r="M12" s="225">
        <v>2.4</v>
      </c>
      <c r="N12" s="23">
        <f>M12*'Wskaźniki emisji 2015r'!$D$15</f>
        <v>1.9488000000000001</v>
      </c>
      <c r="O12" s="23">
        <f t="shared" si="2"/>
        <v>5.4019591679999994</v>
      </c>
    </row>
  </sheetData>
  <mergeCells count="8">
    <mergeCell ref="C1:C2"/>
    <mergeCell ref="I1:I2"/>
    <mergeCell ref="A1:A2"/>
    <mergeCell ref="B1:B2"/>
    <mergeCell ref="D1:D2"/>
    <mergeCell ref="E1:E2"/>
    <mergeCell ref="F1:F2"/>
    <mergeCell ref="G1:G2"/>
  </mergeCells>
  <pageMargins left="0.70866141732283472" right="0.70866141732283472" top="0.74803149606299213" bottom="0.74803149606299213" header="0.31496062992125984" footer="0.31496062992125984"/>
  <pageSetup paperSize="9" scale="96" orientation="landscape" r:id="rId1"/>
  <headerFooter differentFirst="1">
    <oddFooter>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BreakPreview" topLeftCell="A16" zoomScale="93" zoomScaleNormal="100" zoomScaleSheetLayoutView="93" workbookViewId="0">
      <selection activeCell="H39" sqref="H39"/>
    </sheetView>
  </sheetViews>
  <sheetFormatPr defaultRowHeight="14.4"/>
  <cols>
    <col min="1" max="2" width="13.44140625" style="24" customWidth="1"/>
    <col min="3" max="3" width="10.6640625" style="24" customWidth="1"/>
    <col min="4" max="4" width="9.5546875" style="24" customWidth="1"/>
    <col min="5" max="5" width="11.21875" style="24" customWidth="1"/>
    <col min="6" max="6" width="8.6640625" style="24" customWidth="1"/>
    <col min="7" max="7" width="10" style="24" customWidth="1"/>
    <col min="8" max="8" width="9.5546875" style="24" customWidth="1"/>
  </cols>
  <sheetData>
    <row r="1" spans="1:13">
      <c r="A1" s="388" t="s">
        <v>177</v>
      </c>
      <c r="B1" s="388"/>
      <c r="C1" s="388"/>
      <c r="D1" s="388"/>
      <c r="E1" s="388"/>
      <c r="F1" s="388"/>
      <c r="G1" s="388"/>
      <c r="H1" s="388"/>
    </row>
    <row r="2" spans="1:13" ht="19.95" customHeight="1">
      <c r="A2" s="390" t="s">
        <v>70</v>
      </c>
      <c r="B2" s="389" t="s">
        <v>174</v>
      </c>
      <c r="C2" s="393" t="s">
        <v>28</v>
      </c>
      <c r="D2" s="393"/>
      <c r="E2" s="393"/>
      <c r="F2" s="393"/>
      <c r="G2" s="393"/>
      <c r="H2" s="393"/>
    </row>
    <row r="3" spans="1:13" ht="19.2" customHeight="1">
      <c r="A3" s="391"/>
      <c r="B3" s="389"/>
      <c r="C3" s="394" t="s">
        <v>1</v>
      </c>
      <c r="D3" s="395"/>
      <c r="E3" s="395"/>
      <c r="F3" s="395"/>
      <c r="G3" s="395"/>
      <c r="H3" s="396"/>
    </row>
    <row r="4" spans="1:13" ht="31.2" customHeight="1">
      <c r="A4" s="391"/>
      <c r="B4" s="389"/>
      <c r="C4" s="205" t="s">
        <v>7</v>
      </c>
      <c r="D4" s="200" t="s">
        <v>11</v>
      </c>
      <c r="E4" s="200" t="s">
        <v>10</v>
      </c>
      <c r="F4" s="205" t="s">
        <v>162</v>
      </c>
      <c r="G4" s="205" t="s">
        <v>16</v>
      </c>
      <c r="H4" s="200" t="s">
        <v>26</v>
      </c>
    </row>
    <row r="5" spans="1:13" ht="24" customHeight="1">
      <c r="A5" s="391"/>
      <c r="B5" s="389"/>
      <c r="C5" s="27">
        <f>SUMIF('Obiekty publiczne 2010r'!$D$3:$D$12,"węgiel kamienny",'Obiekty publiczne 2010r'!$J$3:$J$12)</f>
        <v>0</v>
      </c>
      <c r="D5" s="27">
        <f>SUMIF('Obiekty publiczne 2010r'!$D$3:$D$12,"gaz ziemny",'Obiekty publiczne 2010r'!$J$3:$J$12)</f>
        <v>1149.037235328</v>
      </c>
      <c r="E5" s="27">
        <f>SUMIF('Obiekty publiczne 2010r'!$D$3:$D$12,"olej opałowy",'Obiekty publiczne 2010r'!$J$3:$J$12)</f>
        <v>0</v>
      </c>
      <c r="F5" s="27">
        <f>SUMIF('Obiekty publiczne 2010r'!$D$3:$D$12,"drewno opałowe",'Obiekty publiczne 2010r'!$J$3:$J$12)</f>
        <v>0</v>
      </c>
      <c r="G5" s="27">
        <f>SUM('Obiekty publiczne 2010r'!M3:M12)</f>
        <v>176.95199999999997</v>
      </c>
      <c r="H5" s="27">
        <f>C5+D5+E5+G5+F5</f>
        <v>1325.9892353279999</v>
      </c>
    </row>
    <row r="6" spans="1:13">
      <c r="A6" s="391"/>
      <c r="B6" s="390" t="s">
        <v>175</v>
      </c>
      <c r="C6" s="393" t="s">
        <v>28</v>
      </c>
      <c r="D6" s="393"/>
      <c r="E6" s="393"/>
      <c r="F6" s="393"/>
      <c r="G6" s="393"/>
      <c r="H6" s="393"/>
    </row>
    <row r="7" spans="1:13">
      <c r="A7" s="391"/>
      <c r="B7" s="391"/>
      <c r="C7" s="394" t="s">
        <v>1</v>
      </c>
      <c r="D7" s="395"/>
      <c r="E7" s="395"/>
      <c r="F7" s="395"/>
      <c r="G7" s="395"/>
      <c r="H7" s="396"/>
    </row>
    <row r="8" spans="1:13" ht="27.6">
      <c r="A8" s="391"/>
      <c r="B8" s="391"/>
      <c r="C8" s="205" t="s">
        <v>7</v>
      </c>
      <c r="D8" s="200" t="s">
        <v>11</v>
      </c>
      <c r="E8" s="200" t="s">
        <v>10</v>
      </c>
      <c r="F8" s="205" t="s">
        <v>162</v>
      </c>
      <c r="G8" s="205" t="s">
        <v>16</v>
      </c>
      <c r="H8" s="200" t="s">
        <v>26</v>
      </c>
    </row>
    <row r="9" spans="1:13">
      <c r="A9" s="391"/>
      <c r="B9" s="392"/>
      <c r="C9" s="27">
        <f>SUMIF('Obiekty publiczne 2015r'!$D$3:$D$12,"węgiel kamienny",'Obiekty publiczne 2015r'!$J$3:$J$12)</f>
        <v>0</v>
      </c>
      <c r="D9" s="27">
        <f>SUMIF('Obiekty publiczne 2015r'!$D$3:$D$12,"gaz ziemny",'Obiekty publiczne 2015r'!$J$3:$J$12)</f>
        <v>987.017444544</v>
      </c>
      <c r="E9" s="27">
        <f>SUMIF('Obiekty publiczne 2015r'!$D$3:$D$12,"olej opałowy",'Obiekty publiczne 2015r'!$J$3:$J$12)</f>
        <v>0</v>
      </c>
      <c r="F9" s="27">
        <f>SUMIF('Obiekty publiczne 2015r'!$D$3:$D$12,"drewno opałowe",'Obiekty publiczne 2015r'!$J$3:$J$12)</f>
        <v>0</v>
      </c>
      <c r="G9" s="27">
        <f>SUM('Obiekty publiczne 2015r'!M3:M12)</f>
        <v>164.24300000000005</v>
      </c>
      <c r="H9" s="27">
        <f>C9+D9+E9+G9+F9</f>
        <v>1151.2604445440002</v>
      </c>
    </row>
    <row r="10" spans="1:13" ht="23.4" customHeight="1">
      <c r="A10" s="391"/>
      <c r="B10" s="389" t="str">
        <f>B2</f>
        <v>2010 rok</v>
      </c>
      <c r="C10" s="397" t="s">
        <v>176</v>
      </c>
      <c r="D10" s="398"/>
      <c r="E10" s="398"/>
      <c r="F10" s="398"/>
      <c r="G10" s="398"/>
      <c r="H10" s="399"/>
    </row>
    <row r="11" spans="1:13" ht="17.399999999999999" customHeight="1">
      <c r="A11" s="391"/>
      <c r="B11" s="389"/>
      <c r="C11" s="397" t="s">
        <v>3</v>
      </c>
      <c r="D11" s="398"/>
      <c r="E11" s="398"/>
      <c r="F11" s="398"/>
      <c r="G11" s="398"/>
      <c r="H11" s="399"/>
    </row>
    <row r="12" spans="1:13" ht="27" customHeight="1">
      <c r="A12" s="391"/>
      <c r="B12" s="389"/>
      <c r="C12" s="146" t="str">
        <f>C4</f>
        <v>Węgiel kamienny</v>
      </c>
      <c r="D12" s="29" t="str">
        <f t="shared" ref="D12:G12" si="0">D4</f>
        <v>Gaz ziemny</v>
      </c>
      <c r="E12" s="29" t="str">
        <f t="shared" si="0"/>
        <v>Olej opałowy</v>
      </c>
      <c r="F12" s="146" t="str">
        <f t="shared" si="0"/>
        <v>Drewno opałowe</v>
      </c>
      <c r="G12" s="146" t="str">
        <f t="shared" si="0"/>
        <v>Energia elektryczna</v>
      </c>
      <c r="H12" s="29" t="s">
        <v>26</v>
      </c>
      <c r="J12" s="155"/>
      <c r="K12" s="155"/>
      <c r="L12" s="155"/>
      <c r="M12" s="155"/>
    </row>
    <row r="13" spans="1:13" ht="24.6" customHeight="1">
      <c r="A13" s="391"/>
      <c r="B13" s="389"/>
      <c r="C13" s="27">
        <f>C5*'Wskaźniki emisji 2010r'!D8</f>
        <v>0</v>
      </c>
      <c r="D13" s="27">
        <f>D5*'Wskaźniki emisji 2010r'!D9</f>
        <v>282.55179945378399</v>
      </c>
      <c r="E13" s="27">
        <f>E5*'Wskaźniki emisji 2010r'!D10</f>
        <v>0</v>
      </c>
      <c r="F13" s="27">
        <f>F5*'Wskaźniki emisji 2010r'!D11</f>
        <v>0</v>
      </c>
      <c r="G13" s="27">
        <f>G5*'Wskaźniki emisji 2010r'!D15</f>
        <v>143.685024</v>
      </c>
      <c r="H13" s="27">
        <f>SUM(C13:G13)</f>
        <v>426.23682345378398</v>
      </c>
      <c r="J13" s="155"/>
      <c r="K13" s="155"/>
      <c r="L13" s="155"/>
      <c r="M13" s="155"/>
    </row>
    <row r="14" spans="1:13">
      <c r="A14" s="391"/>
      <c r="B14" s="389" t="str">
        <f>B6</f>
        <v>2015 rok</v>
      </c>
      <c r="C14" s="397" t="s">
        <v>176</v>
      </c>
      <c r="D14" s="398"/>
      <c r="E14" s="398"/>
      <c r="F14" s="398"/>
      <c r="G14" s="398"/>
      <c r="H14" s="399"/>
      <c r="J14" s="155"/>
      <c r="K14" s="157" t="e">
        <f>60/#REF!</f>
        <v>#REF!</v>
      </c>
      <c r="L14" s="155"/>
      <c r="M14" s="155"/>
    </row>
    <row r="15" spans="1:13">
      <c r="A15" s="391"/>
      <c r="B15" s="389"/>
      <c r="C15" s="397" t="s">
        <v>3</v>
      </c>
      <c r="D15" s="398"/>
      <c r="E15" s="398"/>
      <c r="F15" s="398"/>
      <c r="G15" s="398"/>
      <c r="H15" s="399"/>
      <c r="J15" s="155"/>
      <c r="K15" s="157"/>
      <c r="L15" s="155"/>
      <c r="M15" s="155"/>
    </row>
    <row r="16" spans="1:13" ht="27.6">
      <c r="A16" s="391"/>
      <c r="B16" s="389"/>
      <c r="C16" s="146" t="str">
        <f>C8</f>
        <v>Węgiel kamienny</v>
      </c>
      <c r="D16" s="29" t="str">
        <f t="shared" ref="D16:G16" si="1">D8</f>
        <v>Gaz ziemny</v>
      </c>
      <c r="E16" s="29" t="str">
        <f t="shared" si="1"/>
        <v>Olej opałowy</v>
      </c>
      <c r="F16" s="146" t="str">
        <f t="shared" si="1"/>
        <v>Drewno opałowe</v>
      </c>
      <c r="G16" s="146" t="str">
        <f t="shared" si="1"/>
        <v>Energia elektryczna</v>
      </c>
      <c r="H16" s="29" t="s">
        <v>26</v>
      </c>
      <c r="J16" s="155"/>
      <c r="K16" s="157"/>
      <c r="L16" s="155"/>
      <c r="M16" s="155"/>
    </row>
    <row r="17" spans="1:13">
      <c r="A17" s="392"/>
      <c r="B17" s="389"/>
      <c r="C17" s="27">
        <f>C9*'Wskaźniki emisji 2015r'!D8</f>
        <v>0</v>
      </c>
      <c r="D17" s="27">
        <f>D9*'Wskaźniki emisji 2015r'!D9</f>
        <v>198.90004965503999</v>
      </c>
      <c r="E17" s="27">
        <f>E9*'Wskaźniki emisji 2015r'!D10</f>
        <v>0</v>
      </c>
      <c r="F17" s="27">
        <f>F9*'Wskaźniki emisji 2015r'!D15</f>
        <v>0</v>
      </c>
      <c r="G17" s="27">
        <f>G9*'Wskaźniki emisji 2015r'!D15</f>
        <v>133.36531600000006</v>
      </c>
      <c r="H17" s="27">
        <f>SUM(C17:G17)</f>
        <v>332.26536565504006</v>
      </c>
      <c r="J17" s="155"/>
      <c r="K17" s="155"/>
      <c r="L17" s="155"/>
      <c r="M17" s="155"/>
    </row>
    <row r="18" spans="1:13">
      <c r="J18" s="155"/>
      <c r="K18" s="155"/>
      <c r="L18" s="155"/>
      <c r="M18" s="155"/>
    </row>
    <row r="19" spans="1:13">
      <c r="J19" s="155"/>
      <c r="K19" s="155"/>
      <c r="L19" s="155"/>
      <c r="M19" s="155"/>
    </row>
    <row r="20" spans="1:13">
      <c r="J20" s="155"/>
      <c r="K20" s="155"/>
      <c r="L20" s="155"/>
      <c r="M20" s="155"/>
    </row>
    <row r="21" spans="1:13">
      <c r="J21" s="155"/>
      <c r="K21" s="155"/>
      <c r="L21" s="155"/>
      <c r="M21" s="155"/>
    </row>
  </sheetData>
  <mergeCells count="14">
    <mergeCell ref="A1:H1"/>
    <mergeCell ref="B14:B17"/>
    <mergeCell ref="A2:A17"/>
    <mergeCell ref="C6:H6"/>
    <mergeCell ref="C7:H7"/>
    <mergeCell ref="C14:H14"/>
    <mergeCell ref="C15:H15"/>
    <mergeCell ref="B2:B5"/>
    <mergeCell ref="B6:B9"/>
    <mergeCell ref="C2:H2"/>
    <mergeCell ref="C3:H3"/>
    <mergeCell ref="C10:H10"/>
    <mergeCell ref="C11:H11"/>
    <mergeCell ref="B10:B1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19" max="16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view="pageBreakPreview" topLeftCell="A3" zoomScale="60" zoomScaleNormal="100" workbookViewId="0">
      <selection activeCell="A33" sqref="A33:H62"/>
    </sheetView>
  </sheetViews>
  <sheetFormatPr defaultRowHeight="23.4"/>
  <cols>
    <col min="1" max="1" width="5.88671875" style="31" customWidth="1"/>
    <col min="2" max="2" width="19" style="63" customWidth="1"/>
    <col min="3" max="3" width="14.33203125" style="63" customWidth="1"/>
    <col min="4" max="4" width="11.88671875" style="63" customWidth="1"/>
    <col min="5" max="5" width="13.5546875" style="63" customWidth="1"/>
    <col min="6" max="7" width="11.44140625" style="63" customWidth="1"/>
    <col min="8" max="8" width="11" style="63" customWidth="1"/>
    <col min="9" max="9" width="8.88671875" style="230"/>
    <col min="10" max="12" width="8.88671875" style="211"/>
    <col min="13" max="13" width="20.33203125" style="211" customWidth="1"/>
    <col min="14" max="15" width="13.5546875" style="211" customWidth="1"/>
    <col min="16" max="18" width="13.6640625" style="211" customWidth="1"/>
    <col min="19" max="19" width="8.88671875" style="211"/>
    <col min="20" max="25" width="8.88671875" style="210"/>
  </cols>
  <sheetData>
    <row r="1" spans="1:18" ht="16.8" customHeight="1">
      <c r="A1" s="410" t="s">
        <v>178</v>
      </c>
      <c r="B1" s="410"/>
      <c r="C1" s="410"/>
      <c r="D1" s="410"/>
      <c r="E1" s="410"/>
      <c r="F1" s="410"/>
      <c r="G1" s="410"/>
      <c r="H1" s="410"/>
      <c r="M1" s="402" t="s">
        <v>37</v>
      </c>
      <c r="N1" s="400" t="s">
        <v>43</v>
      </c>
      <c r="O1" s="400"/>
      <c r="P1" s="400"/>
    </row>
    <row r="2" spans="1:18" ht="15" customHeight="1">
      <c r="A2" s="222"/>
      <c r="B2" s="215"/>
      <c r="C2" s="215"/>
      <c r="D2" s="215"/>
      <c r="E2" s="215"/>
      <c r="F2" s="215"/>
      <c r="G2" s="215"/>
      <c r="H2" s="215"/>
      <c r="M2" s="402"/>
      <c r="N2" s="309" t="s">
        <v>44</v>
      </c>
      <c r="O2" s="309" t="s">
        <v>8</v>
      </c>
      <c r="P2" s="309" t="s">
        <v>12</v>
      </c>
      <c r="Q2" s="309" t="s">
        <v>51</v>
      </c>
    </row>
    <row r="3" spans="1:18" ht="14.4">
      <c r="A3" s="222"/>
      <c r="B3" s="215"/>
      <c r="C3" s="217"/>
      <c r="D3" s="217"/>
      <c r="E3" s="217"/>
      <c r="F3" s="217"/>
      <c r="G3" s="218"/>
      <c r="H3" s="219"/>
      <c r="M3" s="211" t="s">
        <v>41</v>
      </c>
      <c r="N3" s="310">
        <f>'Prognoza transport lokalny'!C3</f>
        <v>1021.966638311396</v>
      </c>
      <c r="O3" s="310">
        <f>'Prognoza transport lokalny'!D3</f>
        <v>349.39347193213672</v>
      </c>
      <c r="P3" s="310">
        <f>'Prognoza transport lokalny'!E3</f>
        <v>211.41321556875897</v>
      </c>
      <c r="Q3" s="311">
        <f>SUM(N3:P3)</f>
        <v>1582.7733258122917</v>
      </c>
      <c r="R3" s="312">
        <f>Q3/R$8</f>
        <v>0.75261969825725428</v>
      </c>
    </row>
    <row r="4" spans="1:18" ht="14.4">
      <c r="A4" s="222"/>
      <c r="B4" s="215"/>
      <c r="C4" s="220"/>
      <c r="D4" s="220"/>
      <c r="E4" s="220"/>
      <c r="F4" s="220"/>
      <c r="G4" s="220"/>
      <c r="H4" s="220"/>
      <c r="M4" s="211" t="s">
        <v>40</v>
      </c>
      <c r="N4" s="310">
        <f>'Prognoza transport lokalny'!C4</f>
        <v>161.13811766213618</v>
      </c>
      <c r="O4" s="310">
        <f>'Prognoza transport lokalny'!D4</f>
        <v>1.3937024054955527</v>
      </c>
      <c r="P4" s="310">
        <f>'Prognoza transport lokalny'!E4</f>
        <v>8.4373800022747218</v>
      </c>
      <c r="Q4" s="311">
        <f t="shared" ref="Q4:Q7" si="0">SUM(N4:P4)</f>
        <v>170.96920006990646</v>
      </c>
      <c r="R4" s="312">
        <f>Q4/R$8</f>
        <v>8.1297040877195872E-2</v>
      </c>
    </row>
    <row r="5" spans="1:18" ht="14.4">
      <c r="A5" s="222"/>
      <c r="B5" s="219"/>
      <c r="C5" s="221"/>
      <c r="D5" s="221"/>
      <c r="E5" s="221"/>
      <c r="F5" s="221"/>
      <c r="G5" s="221"/>
      <c r="H5" s="219"/>
      <c r="M5" s="211" t="s">
        <v>39</v>
      </c>
      <c r="N5" s="310">
        <f>'Prognoza transport lokalny'!C5</f>
        <v>113.60920856452516</v>
      </c>
      <c r="O5" s="310">
        <f>'Prognoza transport lokalny'!D5</f>
        <v>164.20785774247383</v>
      </c>
      <c r="P5" s="310">
        <f>'Prognoza transport lokalny'!E5</f>
        <v>15.044701727828595</v>
      </c>
      <c r="Q5" s="311">
        <f t="shared" si="0"/>
        <v>292.86176803482761</v>
      </c>
      <c r="R5" s="312">
        <f>Q5/R$8</f>
        <v>0.13925780267767654</v>
      </c>
    </row>
    <row r="6" spans="1:18" ht="14.4">
      <c r="A6" s="222"/>
      <c r="B6" s="219"/>
      <c r="C6" s="221"/>
      <c r="D6" s="221"/>
      <c r="E6" s="221"/>
      <c r="F6" s="221"/>
      <c r="G6" s="221"/>
      <c r="H6" s="219"/>
      <c r="M6" s="211" t="s">
        <v>38</v>
      </c>
      <c r="N6" s="310">
        <f>'Prognoza transport lokalny'!C6</f>
        <v>2.4426729437953636</v>
      </c>
      <c r="O6" s="310">
        <f>'Prognoza transport lokalny'!D6</f>
        <v>45.337884809677263</v>
      </c>
      <c r="P6" s="310">
        <f>'Prognoza transport lokalny'!E6</f>
        <v>9.8956899642029639E-2</v>
      </c>
      <c r="Q6" s="311">
        <f t="shared" si="0"/>
        <v>47.879514653114661</v>
      </c>
      <c r="R6" s="312">
        <f>Q6/R$8</f>
        <v>2.2767041422332199E-2</v>
      </c>
    </row>
    <row r="7" spans="1:18" ht="14.4">
      <c r="A7" s="222"/>
      <c r="B7" s="219"/>
      <c r="C7" s="221"/>
      <c r="D7" s="221"/>
      <c r="E7" s="221"/>
      <c r="F7" s="221"/>
      <c r="G7" s="221"/>
      <c r="H7" s="219"/>
      <c r="M7" s="211" t="s">
        <v>42</v>
      </c>
      <c r="N7" s="310">
        <f>'Prognoza transport lokalny'!C7</f>
        <v>0.15421066368706579</v>
      </c>
      <c r="O7" s="310">
        <f>'Prognoza transport lokalny'!D7</f>
        <v>8.3506130623968637</v>
      </c>
      <c r="P7" s="310">
        <f>'Prognoza transport lokalny'!E7</f>
        <v>3.010276654165325E-2</v>
      </c>
      <c r="Q7" s="311">
        <f t="shared" si="0"/>
        <v>8.5349264926255817</v>
      </c>
      <c r="R7" s="312">
        <f>Q7/R$8</f>
        <v>4.0584167655410121E-3</v>
      </c>
    </row>
    <row r="8" spans="1:18" ht="14.4">
      <c r="A8" s="222"/>
      <c r="B8" s="219"/>
      <c r="C8" s="221"/>
      <c r="D8" s="221"/>
      <c r="E8" s="221"/>
      <c r="F8" s="221"/>
      <c r="G8" s="221"/>
      <c r="H8" s="219"/>
      <c r="N8" s="309"/>
      <c r="O8" s="309"/>
      <c r="P8" s="309"/>
      <c r="R8" s="311">
        <f>Q6+Q5+Q4+Q3+Q7</f>
        <v>2103.0187350627662</v>
      </c>
    </row>
    <row r="9" spans="1:18" ht="14.4">
      <c r="A9" s="222"/>
      <c r="B9" s="218"/>
      <c r="C9" s="220"/>
      <c r="D9" s="220"/>
      <c r="E9" s="220"/>
      <c r="F9" s="220"/>
      <c r="G9" s="220"/>
      <c r="H9" s="220"/>
      <c r="M9" s="402" t="s">
        <v>37</v>
      </c>
      <c r="N9" s="400" t="s">
        <v>43</v>
      </c>
      <c r="O9" s="400"/>
      <c r="P9" s="400"/>
    </row>
    <row r="10" spans="1:18" ht="14.4">
      <c r="A10" s="222"/>
      <c r="B10" s="219"/>
      <c r="C10" s="219"/>
      <c r="D10" s="219"/>
      <c r="E10" s="219"/>
      <c r="F10" s="219"/>
      <c r="G10" s="219"/>
      <c r="H10" s="219"/>
      <c r="M10" s="402"/>
      <c r="N10" s="309" t="s">
        <v>44</v>
      </c>
      <c r="O10" s="309" t="s">
        <v>8</v>
      </c>
      <c r="P10" s="309" t="s">
        <v>12</v>
      </c>
      <c r="Q10" s="309" t="s">
        <v>51</v>
      </c>
    </row>
    <row r="11" spans="1:18" ht="14.4">
      <c r="A11" s="222"/>
      <c r="B11" s="219"/>
      <c r="C11" s="219"/>
      <c r="D11" s="219"/>
      <c r="E11" s="219"/>
      <c r="F11" s="219"/>
      <c r="G11" s="219"/>
      <c r="H11" s="219"/>
      <c r="M11" s="211" t="s">
        <v>41</v>
      </c>
      <c r="N11" s="313">
        <f>N3/Q3</f>
        <v>0.64568098390646977</v>
      </c>
      <c r="O11" s="313">
        <f>O3/Q3</f>
        <v>0.22074763722267385</v>
      </c>
      <c r="P11" s="313">
        <f>P3/Q3</f>
        <v>0.13357137887085635</v>
      </c>
      <c r="Q11" s="314">
        <f>N11+O11+P11</f>
        <v>1</v>
      </c>
    </row>
    <row r="12" spans="1:18" ht="14.4">
      <c r="A12" s="222"/>
      <c r="B12" s="219"/>
      <c r="C12" s="219"/>
      <c r="D12" s="219"/>
      <c r="E12" s="219"/>
      <c r="F12" s="219"/>
      <c r="G12" s="219"/>
      <c r="H12" s="219"/>
      <c r="M12" s="211" t="s">
        <v>40</v>
      </c>
      <c r="N12" s="313">
        <f t="shared" ref="N12:N15" si="1">N4/Q4</f>
        <v>0.94249793293908779</v>
      </c>
      <c r="O12" s="313">
        <f t="shared" ref="O12:O15" si="2">O4/Q4</f>
        <v>8.1517747344298907E-3</v>
      </c>
      <c r="P12" s="313">
        <f t="shared" ref="P12:P15" si="3">P4/Q4</f>
        <v>4.9350292326482297E-2</v>
      </c>
      <c r="Q12" s="314">
        <f t="shared" ref="Q12:Q15" si="4">N12+O12+P12</f>
        <v>0.99999999999999989</v>
      </c>
    </row>
    <row r="13" spans="1:18" ht="14.4">
      <c r="A13" s="222"/>
      <c r="B13" s="218"/>
      <c r="C13" s="220"/>
      <c r="D13" s="220"/>
      <c r="E13" s="220"/>
      <c r="F13" s="220"/>
      <c r="G13" s="220"/>
      <c r="H13" s="220"/>
      <c r="M13" s="211" t="s">
        <v>39</v>
      </c>
      <c r="N13" s="313">
        <f t="shared" si="1"/>
        <v>0.38792775624783693</v>
      </c>
      <c r="O13" s="313">
        <f t="shared" si="2"/>
        <v>0.56070090283326424</v>
      </c>
      <c r="P13" s="313">
        <f t="shared" si="3"/>
        <v>5.1371340918898827E-2</v>
      </c>
      <c r="Q13" s="314">
        <f t="shared" si="4"/>
        <v>1</v>
      </c>
    </row>
    <row r="14" spans="1:18" ht="14.4">
      <c r="A14" s="222"/>
      <c r="B14" s="219"/>
      <c r="C14" s="219"/>
      <c r="D14" s="219"/>
      <c r="E14" s="219"/>
      <c r="F14" s="219"/>
      <c r="G14" s="219"/>
      <c r="H14" s="219"/>
      <c r="M14" s="211" t="s">
        <v>38</v>
      </c>
      <c r="N14" s="313">
        <f t="shared" si="1"/>
        <v>5.1017078211682804E-2</v>
      </c>
      <c r="O14" s="313">
        <f t="shared" si="2"/>
        <v>0.9469161318394429</v>
      </c>
      <c r="P14" s="313">
        <f t="shared" si="3"/>
        <v>2.0667899488741432E-3</v>
      </c>
      <c r="Q14" s="314">
        <f t="shared" si="4"/>
        <v>0.99999999999999978</v>
      </c>
    </row>
    <row r="15" spans="1:18" ht="14.4">
      <c r="A15" s="222"/>
      <c r="B15" s="219"/>
      <c r="C15" s="219"/>
      <c r="D15" s="219"/>
      <c r="E15" s="219"/>
      <c r="F15" s="219"/>
      <c r="G15" s="219"/>
      <c r="H15" s="219"/>
      <c r="M15" s="211" t="s">
        <v>42</v>
      </c>
      <c r="N15" s="313">
        <f t="shared" si="1"/>
        <v>1.8068188849699896E-2</v>
      </c>
      <c r="O15" s="313">
        <f t="shared" si="2"/>
        <v>0.97840480168306432</v>
      </c>
      <c r="P15" s="313">
        <f t="shared" si="3"/>
        <v>3.5270094672359385E-3</v>
      </c>
      <c r="Q15" s="314">
        <f t="shared" si="4"/>
        <v>1</v>
      </c>
    </row>
    <row r="16" spans="1:18" ht="14.4">
      <c r="A16" s="222"/>
      <c r="B16" s="219"/>
      <c r="C16" s="219"/>
      <c r="D16" s="219"/>
      <c r="E16" s="219"/>
      <c r="F16" s="219"/>
      <c r="G16" s="219"/>
      <c r="H16" s="219"/>
      <c r="O16" s="313"/>
    </row>
    <row r="17" spans="1:19" ht="17.399999999999999" customHeight="1">
      <c r="A17" s="222"/>
      <c r="B17" s="218"/>
      <c r="C17" s="220"/>
      <c r="D17" s="220"/>
      <c r="E17" s="220"/>
      <c r="F17" s="220"/>
      <c r="G17" s="220"/>
      <c r="H17" s="220"/>
      <c r="M17" s="211" t="s">
        <v>45</v>
      </c>
      <c r="N17" s="211" t="s">
        <v>49</v>
      </c>
    </row>
    <row r="18" spans="1:19" ht="14.4">
      <c r="A18" s="222"/>
      <c r="B18" s="219"/>
      <c r="C18" s="219"/>
      <c r="D18" s="219"/>
      <c r="E18" s="219"/>
      <c r="F18" s="219"/>
      <c r="G18" s="219"/>
      <c r="H18" s="219"/>
      <c r="M18" s="211" t="s">
        <v>46</v>
      </c>
      <c r="N18" s="315">
        <v>2.2000000000000002</v>
      </c>
      <c r="O18" s="211" t="s">
        <v>129</v>
      </c>
    </row>
    <row r="19" spans="1:19" ht="14.4">
      <c r="A19" s="222"/>
      <c r="B19" s="219"/>
      <c r="C19" s="219"/>
      <c r="D19" s="219"/>
      <c r="E19" s="219"/>
      <c r="F19" s="219"/>
      <c r="G19" s="219"/>
      <c r="H19" s="219"/>
      <c r="M19" s="211" t="s">
        <v>47</v>
      </c>
      <c r="N19" s="315">
        <v>11.5</v>
      </c>
      <c r="O19" s="211" t="s">
        <v>129</v>
      </c>
    </row>
    <row r="20" spans="1:19" ht="14.4">
      <c r="A20" s="222"/>
      <c r="B20" s="219"/>
      <c r="C20" s="219"/>
      <c r="D20" s="219"/>
      <c r="E20" s="219"/>
      <c r="F20" s="219"/>
      <c r="G20" s="219"/>
      <c r="H20" s="219"/>
      <c r="M20" s="211" t="s">
        <v>48</v>
      </c>
      <c r="N20" s="315">
        <v>37</v>
      </c>
      <c r="O20" s="211" t="s">
        <v>129</v>
      </c>
    </row>
    <row r="21" spans="1:19" ht="14.4">
      <c r="A21" s="222"/>
      <c r="B21" s="218"/>
      <c r="C21" s="220"/>
      <c r="D21" s="220"/>
      <c r="E21" s="220"/>
      <c r="F21" s="220"/>
      <c r="G21" s="220"/>
      <c r="H21" s="220"/>
      <c r="M21" s="316" t="s">
        <v>96</v>
      </c>
      <c r="N21" s="315">
        <v>6.4</v>
      </c>
      <c r="O21" s="211" t="s">
        <v>129</v>
      </c>
    </row>
    <row r="22" spans="1:19" ht="14.4">
      <c r="A22" s="222"/>
      <c r="B22" s="219"/>
      <c r="C22" s="219"/>
      <c r="D22" s="219"/>
      <c r="E22" s="219"/>
      <c r="F22" s="219"/>
      <c r="G22" s="219"/>
      <c r="H22" s="219"/>
      <c r="N22" s="317">
        <f>N20/(N18+N19+N20+N21)</f>
        <v>0.64798598949211905</v>
      </c>
      <c r="P22" s="400"/>
      <c r="Q22" s="400"/>
      <c r="R22" s="400"/>
    </row>
    <row r="23" spans="1:19" ht="14.4">
      <c r="A23" s="222"/>
      <c r="B23" s="219"/>
      <c r="C23" s="219"/>
      <c r="D23" s="219"/>
      <c r="E23" s="219"/>
      <c r="F23" s="219"/>
      <c r="G23" s="219"/>
      <c r="H23" s="219"/>
      <c r="M23" s="318"/>
      <c r="N23" s="319"/>
      <c r="O23" s="320"/>
      <c r="P23" s="319"/>
      <c r="Q23" s="320"/>
      <c r="R23" s="319"/>
    </row>
    <row r="24" spans="1:19" ht="15.6">
      <c r="A24" s="222"/>
      <c r="B24" s="219"/>
      <c r="C24" s="219"/>
      <c r="D24" s="219"/>
      <c r="E24" s="219"/>
      <c r="F24" s="219"/>
      <c r="G24" s="219"/>
      <c r="H24" s="219"/>
      <c r="M24" s="321" t="s">
        <v>203</v>
      </c>
      <c r="N24" s="322"/>
      <c r="O24" s="322"/>
      <c r="P24" s="322"/>
      <c r="Q24" s="323">
        <f>SUM('Obiekty prywatne'!N3:N133)*12</f>
        <v>1081200</v>
      </c>
      <c r="R24" s="211" t="s">
        <v>206</v>
      </c>
    </row>
    <row r="25" spans="1:19" ht="15.6">
      <c r="A25" s="222"/>
      <c r="B25" s="218"/>
      <c r="C25" s="220"/>
      <c r="D25" s="220"/>
      <c r="E25" s="220"/>
      <c r="F25" s="220"/>
      <c r="G25" s="220"/>
      <c r="H25" s="220"/>
      <c r="M25" s="324" t="s">
        <v>204</v>
      </c>
      <c r="N25" s="322"/>
      <c r="O25" s="322"/>
      <c r="P25" s="322"/>
      <c r="Q25" s="323">
        <f>Q24*(Q3+Q4+Q5+Q6+Q7)/Q26</f>
        <v>21655084.346189167</v>
      </c>
      <c r="R25" s="211" t="s">
        <v>207</v>
      </c>
    </row>
    <row r="26" spans="1:19" ht="15.6">
      <c r="A26" s="222"/>
      <c r="B26" s="219"/>
      <c r="C26" s="219"/>
      <c r="D26" s="219"/>
      <c r="E26" s="219"/>
      <c r="F26" s="219"/>
      <c r="G26" s="219"/>
      <c r="H26" s="219"/>
      <c r="M26" s="324" t="s">
        <v>205</v>
      </c>
      <c r="N26" s="322"/>
      <c r="O26" s="322"/>
      <c r="P26" s="322"/>
      <c r="Q26" s="323">
        <f>SUM('Obiekty prywatne'!L3:L133)</f>
        <v>105</v>
      </c>
    </row>
    <row r="27" spans="1:19" ht="14.4">
      <c r="A27" s="222"/>
      <c r="B27" s="219"/>
      <c r="C27" s="219"/>
      <c r="D27" s="219"/>
      <c r="E27" s="219"/>
      <c r="F27" s="219"/>
      <c r="G27" s="219"/>
      <c r="H27" s="219"/>
      <c r="M27" s="321"/>
      <c r="N27" s="311"/>
      <c r="O27" s="311"/>
      <c r="P27" s="311"/>
      <c r="Q27" s="311"/>
      <c r="R27" s="311"/>
      <c r="S27" s="325"/>
    </row>
    <row r="28" spans="1:19" ht="14.4">
      <c r="A28" s="222"/>
      <c r="B28" s="219"/>
      <c r="C28" s="219"/>
      <c r="D28" s="219"/>
      <c r="E28" s="219"/>
      <c r="F28" s="219"/>
      <c r="G28" s="219"/>
      <c r="H28" s="219"/>
      <c r="N28" s="312"/>
      <c r="O28" s="312"/>
      <c r="P28" s="312"/>
      <c r="Q28" s="312"/>
      <c r="R28" s="312"/>
    </row>
    <row r="29" spans="1:19" ht="15.6" customHeight="1">
      <c r="A29" s="223"/>
      <c r="B29" s="218"/>
      <c r="C29" s="218"/>
      <c r="D29" s="217"/>
      <c r="E29" s="217"/>
      <c r="F29" s="219"/>
      <c r="G29" s="219"/>
      <c r="H29" s="218"/>
      <c r="N29" s="326"/>
      <c r="O29" s="327"/>
      <c r="P29" s="327"/>
    </row>
    <row r="30" spans="1:19" ht="17.25" customHeight="1">
      <c r="A30" s="223"/>
      <c r="B30" s="218"/>
      <c r="C30" s="218"/>
      <c r="D30" s="217"/>
      <c r="E30" s="217"/>
      <c r="F30" s="219"/>
      <c r="G30" s="219"/>
      <c r="H30" s="218"/>
      <c r="N30" s="326"/>
      <c r="P30" s="326"/>
      <c r="Q30" s="327"/>
      <c r="R30" s="327"/>
    </row>
    <row r="31" spans="1:19" ht="11.25" customHeight="1">
      <c r="N31" s="326"/>
    </row>
    <row r="32" spans="1:19" ht="9.75" customHeight="1"/>
    <row r="33" spans="1:17" ht="25.5" customHeight="1">
      <c r="A33" s="414" t="s">
        <v>169</v>
      </c>
      <c r="B33" s="415" t="s">
        <v>62</v>
      </c>
      <c r="C33" s="32" t="s">
        <v>41</v>
      </c>
      <c r="D33" s="32" t="s">
        <v>40</v>
      </c>
      <c r="E33" s="32" t="s">
        <v>50</v>
      </c>
      <c r="F33" s="32" t="s">
        <v>38</v>
      </c>
      <c r="G33" s="32" t="s">
        <v>42</v>
      </c>
      <c r="H33" s="32" t="s">
        <v>0</v>
      </c>
      <c r="N33" s="328" t="s">
        <v>59</v>
      </c>
      <c r="O33" s="211" t="s">
        <v>60</v>
      </c>
    </row>
    <row r="34" spans="1:17" ht="14.4">
      <c r="A34" s="414"/>
      <c r="B34" s="416"/>
      <c r="C34" s="403" t="s">
        <v>52</v>
      </c>
      <c r="D34" s="403"/>
      <c r="E34" s="403"/>
      <c r="F34" s="403"/>
      <c r="G34" s="403"/>
      <c r="H34" s="403"/>
      <c r="M34" s="211" t="s">
        <v>44</v>
      </c>
      <c r="N34" s="211">
        <f>'Wskaźniki emisji 2010r'!B20/1000</f>
        <v>6.9999999999999999E-4</v>
      </c>
      <c r="O34" s="211">
        <f>N34*'Wskaźniki emisji 2015r'!B13</f>
        <v>8.6867200000000002E-3</v>
      </c>
    </row>
    <row r="35" spans="1:17" ht="14.4">
      <c r="A35" s="414"/>
      <c r="B35" s="416"/>
      <c r="C35" s="404" t="s">
        <v>51</v>
      </c>
      <c r="D35" s="405"/>
      <c r="E35" s="405"/>
      <c r="F35" s="405"/>
      <c r="G35" s="406"/>
      <c r="H35" s="27">
        <f>Q25/1000000</f>
        <v>21.655084346189167</v>
      </c>
      <c r="M35" s="211" t="s">
        <v>8</v>
      </c>
      <c r="N35" s="211">
        <f>'Wskaźniki emisji 2010r'!B19/1000</f>
        <v>8.3000000000000001E-4</v>
      </c>
      <c r="O35" s="211">
        <f>N35*'Wskaźniki emisji 2015r'!B12</f>
        <v>9.9620003000000009E-3</v>
      </c>
    </row>
    <row r="36" spans="1:17" ht="29.4" customHeight="1">
      <c r="A36" s="414"/>
      <c r="B36" s="417"/>
      <c r="C36" s="407" t="s">
        <v>53</v>
      </c>
      <c r="D36" s="407"/>
      <c r="E36" s="407"/>
      <c r="F36" s="407"/>
      <c r="G36" s="407"/>
      <c r="H36" s="407"/>
      <c r="M36" s="211" t="s">
        <v>12</v>
      </c>
      <c r="N36" s="211">
        <f>'Wskaźniki emisji 2010r'!B21/1000</f>
        <v>5.9999999999999995E-4</v>
      </c>
      <c r="O36" s="211">
        <f>N36*'Wskaźniki emisji 2015r'!B14</f>
        <v>7.8629219999999996E-3</v>
      </c>
    </row>
    <row r="37" spans="1:17" ht="14.4">
      <c r="A37" s="414"/>
      <c r="B37" s="27" t="s">
        <v>54</v>
      </c>
      <c r="C37" s="34">
        <f>R3</f>
        <v>0.75261969825725428</v>
      </c>
      <c r="D37" s="34">
        <f>R4</f>
        <v>8.1297040877195872E-2</v>
      </c>
      <c r="E37" s="34">
        <f>R5</f>
        <v>0.13925780267767654</v>
      </c>
      <c r="F37" s="34">
        <f>R6</f>
        <v>2.2767041422332199E-2</v>
      </c>
      <c r="G37" s="34">
        <f>R7</f>
        <v>4.0584167655410121E-3</v>
      </c>
      <c r="H37" s="37">
        <f>SUM(C37:G37)</f>
        <v>0.99999999999999989</v>
      </c>
    </row>
    <row r="38" spans="1:17" ht="14.4">
      <c r="A38" s="414"/>
      <c r="B38" s="27" t="s">
        <v>44</v>
      </c>
      <c r="C38" s="34">
        <f>C37*N11</f>
        <v>0.48595222727813436</v>
      </c>
      <c r="D38" s="34">
        <f>D37*N12</f>
        <v>7.6622292980821641E-2</v>
      </c>
      <c r="E38" s="34">
        <f>E37*N13</f>
        <v>5.4021966932755079E-2</v>
      </c>
      <c r="F38" s="34">
        <f>F37*N14</f>
        <v>1.1615079328917439E-3</v>
      </c>
      <c r="G38" s="34">
        <f>G37*N15</f>
        <v>7.3328240550583237E-5</v>
      </c>
      <c r="H38" s="37">
        <f>SUM(C38:G38)</f>
        <v>0.61783132336515345</v>
      </c>
    </row>
    <row r="39" spans="1:17" ht="14.4">
      <c r="A39" s="414"/>
      <c r="B39" s="27" t="s">
        <v>8</v>
      </c>
      <c r="C39" s="34">
        <f>C37*O11</f>
        <v>0.16613902011753062</v>
      </c>
      <c r="D39" s="34">
        <f>D37*O12</f>
        <v>6.627151638066394E-4</v>
      </c>
      <c r="E39" s="34">
        <f>E37*O13</f>
        <v>7.8081975687949792E-2</v>
      </c>
      <c r="F39" s="34">
        <f>F37*O14</f>
        <v>2.1558478797063175E-2</v>
      </c>
      <c r="G39" s="34">
        <f>G37*O15</f>
        <v>3.970774450636377E-3</v>
      </c>
      <c r="H39" s="37">
        <f t="shared" ref="H39:H40" si="5">SUM(C39:G39)</f>
        <v>0.27041296421698663</v>
      </c>
      <c r="M39" s="211" t="s">
        <v>64</v>
      </c>
      <c r="N39" s="211" t="s">
        <v>65</v>
      </c>
      <c r="O39" s="211" t="s">
        <v>66</v>
      </c>
      <c r="P39" s="211" t="s">
        <v>67</v>
      </c>
      <c r="Q39" s="211" t="s">
        <v>68</v>
      </c>
    </row>
    <row r="40" spans="1:17" ht="14.4">
      <c r="A40" s="414"/>
      <c r="B40" s="27" t="s">
        <v>12</v>
      </c>
      <c r="C40" s="34">
        <f>C37*P11</f>
        <v>0.10052845086158929</v>
      </c>
      <c r="D40" s="34">
        <f>D37*P12</f>
        <v>4.0120327325675973E-3</v>
      </c>
      <c r="E40" s="34">
        <f>E37*P13</f>
        <v>7.1538600569716632E-3</v>
      </c>
      <c r="F40" s="34">
        <f>F37*P14</f>
        <v>4.7054692377277467E-5</v>
      </c>
      <c r="G40" s="34">
        <f>G37*P15</f>
        <v>1.4314074354052206E-5</v>
      </c>
      <c r="H40" s="37">
        <f t="shared" si="5"/>
        <v>0.11175571241785988</v>
      </c>
      <c r="M40" s="211" t="s">
        <v>44</v>
      </c>
      <c r="N40" s="329">
        <f>N11/Q11</f>
        <v>0.64568098390646977</v>
      </c>
      <c r="O40" s="329">
        <f>N13/Q13</f>
        <v>0.38792775624783693</v>
      </c>
    </row>
    <row r="41" spans="1:17" ht="14.4">
      <c r="A41" s="414"/>
      <c r="B41" s="201"/>
      <c r="C41" s="411" t="s">
        <v>55</v>
      </c>
      <c r="D41" s="412"/>
      <c r="E41" s="412"/>
      <c r="F41" s="412"/>
      <c r="G41" s="412"/>
      <c r="H41" s="413"/>
      <c r="M41" s="211" t="s">
        <v>8</v>
      </c>
      <c r="N41" s="329">
        <f>O11/Q11</f>
        <v>0.22074763722267385</v>
      </c>
      <c r="O41" s="329">
        <f>O13/Q13</f>
        <v>0.56070090283326424</v>
      </c>
    </row>
    <row r="42" spans="1:17" ht="14.4">
      <c r="A42" s="414"/>
      <c r="B42" s="27" t="s">
        <v>44</v>
      </c>
      <c r="C42" s="27">
        <v>0.08</v>
      </c>
      <c r="D42" s="27">
        <v>0.04</v>
      </c>
      <c r="E42" s="27">
        <v>0.13</v>
      </c>
      <c r="F42" s="27"/>
      <c r="G42" s="27"/>
      <c r="H42" s="27"/>
      <c r="M42" s="211" t="s">
        <v>12</v>
      </c>
      <c r="N42" s="329">
        <f>P11/Q11</f>
        <v>0.13357137887085635</v>
      </c>
    </row>
    <row r="43" spans="1:17" ht="14.4">
      <c r="A43" s="414"/>
      <c r="B43" s="27" t="s">
        <v>8</v>
      </c>
      <c r="C43" s="27">
        <v>7.0999999999999994E-2</v>
      </c>
      <c r="D43" s="27"/>
      <c r="E43" s="27">
        <v>0.29799999999999999</v>
      </c>
      <c r="F43" s="27">
        <v>0.29199999999999998</v>
      </c>
      <c r="G43" s="27"/>
      <c r="H43" s="27"/>
    </row>
    <row r="44" spans="1:17" ht="14.4">
      <c r="A44" s="414"/>
      <c r="B44" s="27" t="s">
        <v>12</v>
      </c>
      <c r="C44" s="27">
        <v>0.10199999999999999</v>
      </c>
      <c r="D44" s="27"/>
      <c r="E44" s="27"/>
      <c r="F44" s="27"/>
      <c r="G44" s="27"/>
      <c r="H44" s="27"/>
      <c r="N44" s="330" t="str">
        <f>C53</f>
        <v>Wyliczone zużycie paliwa (MWh)</v>
      </c>
    </row>
    <row r="45" spans="1:17" ht="14.4">
      <c r="A45" s="414"/>
      <c r="B45" s="201"/>
      <c r="C45" s="401" t="s">
        <v>56</v>
      </c>
      <c r="D45" s="401"/>
      <c r="E45" s="401"/>
      <c r="F45" s="401"/>
      <c r="G45" s="401"/>
      <c r="H45" s="401"/>
      <c r="M45" s="330" t="str">
        <f>B50</f>
        <v>Benzyna</v>
      </c>
      <c r="N45" s="330">
        <f>H54</f>
        <v>9210.685045748869</v>
      </c>
    </row>
    <row r="46" spans="1:17" ht="14.4">
      <c r="A46" s="414"/>
      <c r="B46" s="27" t="s">
        <v>44</v>
      </c>
      <c r="C46" s="27">
        <f t="shared" ref="C46:F48" si="6">C38*$H$35</f>
        <v>10.523336469926488</v>
      </c>
      <c r="D46" s="27">
        <f t="shared" si="6"/>
        <v>1.6592622172981109</v>
      </c>
      <c r="E46" s="27">
        <f t="shared" si="6"/>
        <v>1.1698502504758532</v>
      </c>
      <c r="F46" s="27">
        <f t="shared" si="6"/>
        <v>2.515255225553854E-2</v>
      </c>
      <c r="G46" s="27"/>
      <c r="H46" s="27">
        <f>SUM(C46:F46)</f>
        <v>13.377601489955991</v>
      </c>
      <c r="M46" s="330" t="str">
        <f t="shared" ref="M46:M47" si="7">B51</f>
        <v>Olej napędowy</v>
      </c>
      <c r="N46" s="330">
        <f t="shared" ref="N46:N47" si="8">H55</f>
        <v>8922.3734596368577</v>
      </c>
    </row>
    <row r="47" spans="1:17" ht="14.4">
      <c r="A47" s="414"/>
      <c r="B47" s="27" t="s">
        <v>8</v>
      </c>
      <c r="C47" s="27">
        <f t="shared" si="6"/>
        <v>3.5977544938383446</v>
      </c>
      <c r="D47" s="27">
        <f t="shared" si="6"/>
        <v>1.4351152769731345E-2</v>
      </c>
      <c r="E47" s="27">
        <f t="shared" si="6"/>
        <v>1.6908717694396447</v>
      </c>
      <c r="F47" s="27">
        <f t="shared" si="6"/>
        <v>0.46685067672593383</v>
      </c>
      <c r="G47" s="27"/>
      <c r="H47" s="27">
        <f t="shared" ref="H47:H48" si="9">SUM(C47:F47)</f>
        <v>5.7698280927736549</v>
      </c>
      <c r="M47" s="330" t="str">
        <f t="shared" si="7"/>
        <v>LPG</v>
      </c>
      <c r="N47" s="330">
        <f t="shared" si="8"/>
        <v>1745.9548511681364</v>
      </c>
    </row>
    <row r="48" spans="1:17" ht="14.4">
      <c r="A48" s="414"/>
      <c r="B48" s="27" t="s">
        <v>12</v>
      </c>
      <c r="C48" s="27">
        <f t="shared" si="6"/>
        <v>2.1769520825994491</v>
      </c>
      <c r="D48" s="27">
        <f t="shared" si="6"/>
        <v>8.6880907223423121E-2</v>
      </c>
      <c r="E48" s="27">
        <f t="shared" si="6"/>
        <v>0.15491744293455501</v>
      </c>
      <c r="F48" s="27">
        <f t="shared" si="6"/>
        <v>1.018973332313928E-3</v>
      </c>
      <c r="G48" s="27"/>
      <c r="H48" s="27">
        <f t="shared" si="9"/>
        <v>2.4197694060897414</v>
      </c>
    </row>
    <row r="49" spans="1:19" ht="14.4">
      <c r="A49" s="414"/>
      <c r="B49" s="201"/>
      <c r="C49" s="401" t="s">
        <v>57</v>
      </c>
      <c r="D49" s="401"/>
      <c r="E49" s="401"/>
      <c r="F49" s="401"/>
      <c r="G49" s="401"/>
      <c r="H49" s="401"/>
    </row>
    <row r="50" spans="1:19" ht="14.4">
      <c r="A50" s="414"/>
      <c r="B50" s="27" t="s">
        <v>44</v>
      </c>
      <c r="C50" s="27">
        <f>C42*C46</f>
        <v>0.84186691759411902</v>
      </c>
      <c r="D50" s="27">
        <f t="shared" ref="D50:F51" si="10">D42*D46</f>
        <v>6.637048869192444E-2</v>
      </c>
      <c r="E50" s="27">
        <f t="shared" si="10"/>
        <v>0.15208053256186094</v>
      </c>
      <c r="F50" s="27"/>
      <c r="G50" s="27"/>
      <c r="H50" s="27"/>
      <c r="M50" s="400"/>
      <c r="N50" s="400"/>
      <c r="O50" s="400"/>
      <c r="P50" s="400"/>
      <c r="Q50" s="400"/>
      <c r="R50" s="400"/>
    </row>
    <row r="51" spans="1:19" ht="14.25" customHeight="1">
      <c r="A51" s="414"/>
      <c r="B51" s="27" t="s">
        <v>8</v>
      </c>
      <c r="C51" s="27">
        <f t="shared" ref="C51:C52" si="11">C43*C47</f>
        <v>0.25544056906252244</v>
      </c>
      <c r="D51" s="27"/>
      <c r="E51" s="27">
        <f t="shared" si="10"/>
        <v>0.50387978729301408</v>
      </c>
      <c r="F51" s="27">
        <f t="shared" si="10"/>
        <v>0.13632039760397266</v>
      </c>
      <c r="G51" s="27"/>
      <c r="H51" s="27"/>
    </row>
    <row r="52" spans="1:19" ht="20.25" customHeight="1">
      <c r="A52" s="414"/>
      <c r="B52" s="27" t="s">
        <v>12</v>
      </c>
      <c r="C52" s="27">
        <f t="shared" si="11"/>
        <v>0.2220491124251438</v>
      </c>
      <c r="D52" s="27"/>
      <c r="E52" s="27"/>
      <c r="F52" s="27"/>
      <c r="G52" s="27"/>
      <c r="H52" s="27"/>
      <c r="M52" s="318"/>
      <c r="N52" s="319"/>
      <c r="O52" s="320"/>
      <c r="P52" s="319"/>
      <c r="Q52" s="320"/>
      <c r="R52" s="319"/>
    </row>
    <row r="53" spans="1:19" ht="17.25" customHeight="1">
      <c r="A53" s="414"/>
      <c r="B53" s="201"/>
      <c r="C53" s="401" t="s">
        <v>58</v>
      </c>
      <c r="D53" s="401"/>
      <c r="E53" s="401"/>
      <c r="F53" s="401"/>
      <c r="G53" s="401"/>
      <c r="H53" s="401"/>
      <c r="M53" s="321"/>
    </row>
    <row r="54" spans="1:19" ht="18" customHeight="1">
      <c r="A54" s="414"/>
      <c r="B54" s="27" t="s">
        <v>44</v>
      </c>
      <c r="C54" s="27">
        <f>C50*1000000*$O$34</f>
        <v>7313.062190403185</v>
      </c>
      <c r="D54" s="27">
        <f>D50*1000000*$O$34</f>
        <v>576.54185152991397</v>
      </c>
      <c r="E54" s="27">
        <f>E50*1000000*$O$34</f>
        <v>1321.0810038157688</v>
      </c>
      <c r="F54" s="27"/>
      <c r="G54" s="27"/>
      <c r="H54" s="27">
        <f>SUM(C54:F54)</f>
        <v>9210.685045748869</v>
      </c>
      <c r="M54" s="324"/>
    </row>
    <row r="55" spans="1:19" ht="17.25" customHeight="1">
      <c r="A55" s="414"/>
      <c r="B55" s="27" t="s">
        <v>8</v>
      </c>
      <c r="C55" s="27">
        <f>C51*1000000*$O$35</f>
        <v>2544.6990256330196</v>
      </c>
      <c r="D55" s="27"/>
      <c r="E55" s="27">
        <f>E51*1000000*$O$35</f>
        <v>5019.6505921769431</v>
      </c>
      <c r="F55" s="27">
        <f>F51*1000000*$O$35</f>
        <v>1358.0238418268953</v>
      </c>
      <c r="G55" s="27"/>
      <c r="H55" s="27">
        <f t="shared" ref="H55:H56" si="12">SUM(C55:F55)</f>
        <v>8922.3734596368577</v>
      </c>
      <c r="M55" s="324"/>
    </row>
    <row r="56" spans="1:19" ht="17.25" customHeight="1">
      <c r="A56" s="414"/>
      <c r="B56" s="27" t="s">
        <v>12</v>
      </c>
      <c r="C56" s="27">
        <f>C52*1000000*$O$36</f>
        <v>1745.9548511681364</v>
      </c>
      <c r="D56" s="27"/>
      <c r="E56" s="27"/>
      <c r="F56" s="27"/>
      <c r="G56" s="27"/>
      <c r="H56" s="27">
        <f t="shared" si="12"/>
        <v>1745.9548511681364</v>
      </c>
      <c r="M56" s="321"/>
      <c r="N56" s="311"/>
      <c r="O56" s="311"/>
      <c r="P56" s="311"/>
      <c r="Q56" s="311"/>
      <c r="R56" s="311"/>
      <c r="S56" s="331"/>
    </row>
    <row r="57" spans="1:19" ht="17.25" customHeight="1">
      <c r="A57" s="414"/>
      <c r="B57" s="201"/>
      <c r="C57" s="401" t="s">
        <v>61</v>
      </c>
      <c r="D57" s="401"/>
      <c r="E57" s="401"/>
      <c r="F57" s="401"/>
      <c r="G57" s="401"/>
      <c r="H57" s="401"/>
      <c r="N57" s="312"/>
      <c r="O57" s="312"/>
      <c r="P57" s="312"/>
      <c r="Q57" s="312"/>
      <c r="R57" s="312"/>
    </row>
    <row r="58" spans="1:19" ht="18" customHeight="1">
      <c r="A58" s="414"/>
      <c r="B58" s="27" t="s">
        <v>44</v>
      </c>
      <c r="C58" s="27">
        <f>C54*'Wskaźniki emisji 2010r'!$D$13</f>
        <v>2210.3488849496148</v>
      </c>
      <c r="D58" s="27">
        <f>D54*'Wskaźniki emisji 2010r'!$D$13</f>
        <v>174.2578697509577</v>
      </c>
      <c r="E58" s="27">
        <f>E54*'Wskaźniki emisji 2010r'!$D$13</f>
        <v>399.29236859823743</v>
      </c>
      <c r="F58" s="27"/>
      <c r="G58" s="27"/>
      <c r="H58" s="27">
        <f>SUM(C58:F58)</f>
        <v>2783.8991232988096</v>
      </c>
    </row>
    <row r="59" spans="1:19" ht="17.25" customHeight="1">
      <c r="A59" s="414"/>
      <c r="B59" s="27" t="s">
        <v>8</v>
      </c>
      <c r="C59" s="27">
        <f>C55*'Wskaźniki emisji 2010r'!$D$12</f>
        <v>822.03867643026138</v>
      </c>
      <c r="D59" s="27"/>
      <c r="E59" s="27">
        <f>E55*'Wskaźniki emisji 2010r'!$D$12</f>
        <v>1621.5461582569835</v>
      </c>
      <c r="F59" s="27">
        <f>F55*'Wskaźniki emisji 2010r'!$D$12</f>
        <v>438.69554326504948</v>
      </c>
      <c r="G59" s="27"/>
      <c r="H59" s="27">
        <f t="shared" ref="H59:H60" si="13">SUM(C59:F59)</f>
        <v>2882.2803779522942</v>
      </c>
      <c r="N59" s="326"/>
      <c r="O59" s="327"/>
      <c r="P59" s="327"/>
    </row>
    <row r="60" spans="1:19" ht="17.25" customHeight="1">
      <c r="A60" s="414"/>
      <c r="B60" s="27" t="s">
        <v>12</v>
      </c>
      <c r="C60" s="27">
        <f>C56*'Wskaźniki emisji 2010r'!D14</f>
        <v>480.25295553717376</v>
      </c>
      <c r="D60" s="27"/>
      <c r="E60" s="27"/>
      <c r="F60" s="27"/>
      <c r="G60" s="27"/>
      <c r="H60" s="27">
        <f t="shared" si="13"/>
        <v>480.25295553717376</v>
      </c>
      <c r="N60" s="326"/>
      <c r="P60" s="326"/>
      <c r="Q60" s="327"/>
      <c r="R60" s="327"/>
    </row>
    <row r="61" spans="1:19">
      <c r="D61" s="408" t="s">
        <v>63</v>
      </c>
      <c r="E61" s="408"/>
      <c r="F61" s="36">
        <f>H56+H55+H54</f>
        <v>19879.013356553864</v>
      </c>
      <c r="G61" s="36"/>
      <c r="H61" s="63" t="s">
        <v>1</v>
      </c>
      <c r="N61" s="326"/>
    </row>
    <row r="62" spans="1:19">
      <c r="D62" s="409" t="s">
        <v>105</v>
      </c>
      <c r="E62" s="409"/>
      <c r="F62" s="36">
        <f>H60+H59+H58</f>
        <v>6146.4324567882777</v>
      </c>
      <c r="G62" s="36"/>
      <c r="H62" s="63" t="s">
        <v>104</v>
      </c>
    </row>
  </sheetData>
  <mergeCells count="19">
    <mergeCell ref="D61:E61"/>
    <mergeCell ref="D62:E62"/>
    <mergeCell ref="A1:H1"/>
    <mergeCell ref="C41:H41"/>
    <mergeCell ref="C45:H45"/>
    <mergeCell ref="C49:H49"/>
    <mergeCell ref="A33:A60"/>
    <mergeCell ref="B33:B36"/>
    <mergeCell ref="M50:R50"/>
    <mergeCell ref="C53:H53"/>
    <mergeCell ref="C57:H57"/>
    <mergeCell ref="M1:M2"/>
    <mergeCell ref="N1:P1"/>
    <mergeCell ref="M9:M10"/>
    <mergeCell ref="N9:P9"/>
    <mergeCell ref="P22:R22"/>
    <mergeCell ref="C34:H34"/>
    <mergeCell ref="C35:G35"/>
    <mergeCell ref="C36:H3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30" max="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2"/>
  <sheetViews>
    <sheetView view="pageBreakPreview" zoomScale="60" zoomScaleNormal="100" workbookViewId="0">
      <selection activeCell="A33" sqref="A33:H62"/>
    </sheetView>
  </sheetViews>
  <sheetFormatPr defaultRowHeight="23.4"/>
  <cols>
    <col min="1" max="1" width="5.88671875" style="31" customWidth="1"/>
    <col min="2" max="2" width="19" style="35" customWidth="1"/>
    <col min="3" max="3" width="14.33203125" style="35" customWidth="1"/>
    <col min="4" max="4" width="11.88671875" style="35" customWidth="1"/>
    <col min="5" max="5" width="13.5546875" style="35" customWidth="1"/>
    <col min="6" max="6" width="11.44140625" style="35" customWidth="1"/>
    <col min="7" max="7" width="11.44140625" style="63" customWidth="1"/>
    <col min="8" max="8" width="11" style="35" customWidth="1"/>
    <col min="9" max="9" width="8.88671875" style="230"/>
    <col min="10" max="12" width="8.88671875" style="226"/>
    <col min="13" max="13" width="20.33203125" style="226" customWidth="1"/>
    <col min="14" max="15" width="13.5546875" style="226" customWidth="1"/>
    <col min="16" max="18" width="13.6640625" style="226" customWidth="1"/>
    <col min="19" max="19" width="8.88671875" style="226"/>
    <col min="20" max="22" width="8.88671875" style="230"/>
    <col min="23" max="25" width="8.88671875" style="210"/>
  </cols>
  <sheetData>
    <row r="1" spans="1:18" ht="30.6" customHeight="1">
      <c r="A1" s="222"/>
      <c r="B1" s="215"/>
      <c r="C1" s="216"/>
      <c r="D1" s="216"/>
      <c r="E1" s="216"/>
      <c r="F1" s="216"/>
      <c r="G1" s="216"/>
      <c r="H1" s="216"/>
      <c r="M1" s="418" t="s">
        <v>37</v>
      </c>
      <c r="N1" s="419" t="s">
        <v>43</v>
      </c>
      <c r="O1" s="419"/>
      <c r="P1" s="419"/>
    </row>
    <row r="2" spans="1:18" ht="15" customHeight="1">
      <c r="A2" s="222"/>
      <c r="B2" s="215"/>
      <c r="C2" s="215"/>
      <c r="D2" s="215"/>
      <c r="E2" s="215"/>
      <c r="F2" s="215"/>
      <c r="G2" s="215"/>
      <c r="H2" s="215"/>
      <c r="M2" s="418"/>
      <c r="N2" s="343" t="s">
        <v>44</v>
      </c>
      <c r="O2" s="343" t="s">
        <v>8</v>
      </c>
      <c r="P2" s="343" t="s">
        <v>12</v>
      </c>
      <c r="Q2" s="343" t="s">
        <v>51</v>
      </c>
    </row>
    <row r="3" spans="1:18" ht="14.4">
      <c r="A3" s="222"/>
      <c r="B3" s="215"/>
      <c r="C3" s="217"/>
      <c r="D3" s="217"/>
      <c r="E3" s="217"/>
      <c r="F3" s="217"/>
      <c r="G3" s="218"/>
      <c r="H3" s="219"/>
      <c r="M3" s="226" t="s">
        <v>41</v>
      </c>
      <c r="N3" s="344">
        <f>'Prognoza transport lokalny'!C33</f>
        <v>1448.9081278861181</v>
      </c>
      <c r="O3" s="344">
        <f>'Prognoza transport lokalny'!D33</f>
        <v>495.35769792768014</v>
      </c>
      <c r="P3" s="344">
        <f>'Prognoza transport lokalny'!E33</f>
        <v>299.73417418620164</v>
      </c>
      <c r="Q3" s="345">
        <f>SUM(N3:P3)</f>
        <v>2244</v>
      </c>
      <c r="R3" s="346">
        <f>Q3/R$8</f>
        <v>0.77889621659146124</v>
      </c>
    </row>
    <row r="4" spans="1:18" ht="14.4">
      <c r="A4" s="222"/>
      <c r="B4" s="215"/>
      <c r="C4" s="220"/>
      <c r="D4" s="220"/>
      <c r="E4" s="220"/>
      <c r="F4" s="220"/>
      <c r="G4" s="220"/>
      <c r="H4" s="220"/>
      <c r="M4" s="226" t="s">
        <v>40</v>
      </c>
      <c r="N4" s="344">
        <f>'Prognoza transport lokalny'!C34</f>
        <v>210.17703904541656</v>
      </c>
      <c r="O4" s="344">
        <f>'Prognoza transport lokalny'!D34</f>
        <v>1.8178457657778657</v>
      </c>
      <c r="P4" s="344">
        <f>'Prognoza transport lokalny'!E34</f>
        <v>11.005115188805554</v>
      </c>
      <c r="Q4" s="345">
        <f t="shared" ref="Q4:Q7" si="0">SUM(N4:P4)</f>
        <v>222.99999999999997</v>
      </c>
      <c r="R4" s="346">
        <f>Q4/R$8</f>
        <v>7.740367927802845E-2</v>
      </c>
    </row>
    <row r="5" spans="1:18" ht="14.4">
      <c r="A5" s="222"/>
      <c r="B5" s="219"/>
      <c r="C5" s="221"/>
      <c r="D5" s="221"/>
      <c r="E5" s="221"/>
      <c r="F5" s="221"/>
      <c r="G5" s="221"/>
      <c r="H5" s="219"/>
      <c r="M5" s="226" t="s">
        <v>39</v>
      </c>
      <c r="N5" s="344">
        <f>'Prognoza transport lokalny'!C35</f>
        <v>132.67129263676023</v>
      </c>
      <c r="O5" s="344">
        <f>'Prognoza transport lokalny'!D35</f>
        <v>191.75970876897637</v>
      </c>
      <c r="P5" s="344">
        <f>'Prognoza transport lokalny'!E35</f>
        <v>17.568998594263398</v>
      </c>
      <c r="Q5" s="345">
        <f t="shared" si="0"/>
        <v>342</v>
      </c>
      <c r="R5" s="346">
        <f>Q5/R$8</f>
        <v>0.1187087816730302</v>
      </c>
    </row>
    <row r="6" spans="1:18" ht="14.4">
      <c r="A6" s="222"/>
      <c r="B6" s="219"/>
      <c r="C6" s="221"/>
      <c r="D6" s="221"/>
      <c r="E6" s="221"/>
      <c r="F6" s="221"/>
      <c r="G6" s="221"/>
      <c r="H6" s="219"/>
      <c r="M6" s="226" t="s">
        <v>38</v>
      </c>
      <c r="N6" s="344">
        <f>'Prognoza transport lokalny'!C36</f>
        <v>2.805939301642554</v>
      </c>
      <c r="O6" s="344">
        <f>'Prognoza transport lokalny'!D36</f>
        <v>52.080387251169363</v>
      </c>
      <c r="P6" s="344">
        <f>'Prognoza transport lokalny'!E36</f>
        <v>0.11367344718807787</v>
      </c>
      <c r="Q6" s="345">
        <f t="shared" si="0"/>
        <v>54.999999999999993</v>
      </c>
      <c r="R6" s="346">
        <f>Q6/R$8</f>
        <v>1.9090593543908362E-2</v>
      </c>
    </row>
    <row r="7" spans="1:18" ht="14.4">
      <c r="A7" s="222"/>
      <c r="B7" s="219"/>
      <c r="C7" s="221"/>
      <c r="D7" s="221"/>
      <c r="E7" s="221"/>
      <c r="F7" s="221"/>
      <c r="G7" s="221"/>
      <c r="H7" s="219"/>
      <c r="M7" s="226" t="s">
        <v>42</v>
      </c>
      <c r="N7" s="344">
        <f>'Prognoza transport lokalny'!C37</f>
        <v>0.30715921044489825</v>
      </c>
      <c r="O7" s="344">
        <f>'Prognoza transport lokalny'!D37</f>
        <v>16.63288162861209</v>
      </c>
      <c r="P7" s="344">
        <f>'Prognoza transport lokalny'!E37</f>
        <v>5.9959160943010958E-2</v>
      </c>
      <c r="Q7" s="345">
        <f t="shared" si="0"/>
        <v>16.999999999999996</v>
      </c>
      <c r="R7" s="346">
        <f>Q7/R$8</f>
        <v>5.900728913571675E-3</v>
      </c>
    </row>
    <row r="8" spans="1:18" ht="14.4">
      <c r="A8" s="222"/>
      <c r="B8" s="219"/>
      <c r="C8" s="221"/>
      <c r="D8" s="221"/>
      <c r="E8" s="221"/>
      <c r="F8" s="221"/>
      <c r="G8" s="221"/>
      <c r="H8" s="219"/>
      <c r="N8" s="343"/>
      <c r="O8" s="343"/>
      <c r="P8" s="343"/>
      <c r="R8" s="345">
        <f>Q6+Q5+Q4+Q3+Q7</f>
        <v>2881</v>
      </c>
    </row>
    <row r="9" spans="1:18" ht="14.4">
      <c r="A9" s="222"/>
      <c r="B9" s="218"/>
      <c r="C9" s="220"/>
      <c r="D9" s="220"/>
      <c r="E9" s="220"/>
      <c r="F9" s="220"/>
      <c r="G9" s="220"/>
      <c r="H9" s="220"/>
      <c r="M9" s="418" t="s">
        <v>37</v>
      </c>
      <c r="N9" s="419" t="s">
        <v>43</v>
      </c>
      <c r="O9" s="419"/>
      <c r="P9" s="419"/>
    </row>
    <row r="10" spans="1:18" ht="14.4">
      <c r="A10" s="222"/>
      <c r="B10" s="219"/>
      <c r="C10" s="219"/>
      <c r="D10" s="219"/>
      <c r="E10" s="219"/>
      <c r="F10" s="219"/>
      <c r="G10" s="219"/>
      <c r="H10" s="219"/>
      <c r="M10" s="418"/>
      <c r="N10" s="343" t="s">
        <v>44</v>
      </c>
      <c r="O10" s="343" t="s">
        <v>8</v>
      </c>
      <c r="P10" s="343" t="s">
        <v>12</v>
      </c>
      <c r="Q10" s="343" t="s">
        <v>51</v>
      </c>
    </row>
    <row r="11" spans="1:18" ht="14.4">
      <c r="A11" s="222"/>
      <c r="B11" s="219"/>
      <c r="C11" s="219"/>
      <c r="D11" s="219"/>
      <c r="E11" s="219"/>
      <c r="F11" s="219"/>
      <c r="G11" s="219"/>
      <c r="H11" s="219"/>
      <c r="M11" s="226" t="s">
        <v>41</v>
      </c>
      <c r="N11" s="347">
        <f>N3/Q3</f>
        <v>0.64568098390646977</v>
      </c>
      <c r="O11" s="347">
        <f>O3/Q3</f>
        <v>0.22074763722267385</v>
      </c>
      <c r="P11" s="347">
        <f>P3/Q3</f>
        <v>0.13357137887085635</v>
      </c>
      <c r="Q11" s="348">
        <f>N11+O11+P11</f>
        <v>1</v>
      </c>
    </row>
    <row r="12" spans="1:18" ht="14.4">
      <c r="A12" s="222"/>
      <c r="B12" s="219"/>
      <c r="C12" s="219"/>
      <c r="D12" s="219"/>
      <c r="E12" s="219"/>
      <c r="F12" s="219"/>
      <c r="G12" s="219"/>
      <c r="H12" s="219"/>
      <c r="M12" s="226" t="s">
        <v>40</v>
      </c>
      <c r="N12" s="347">
        <f t="shared" ref="N12:N15" si="1">N4/Q4</f>
        <v>0.9424979329390879</v>
      </c>
      <c r="O12" s="347">
        <f t="shared" ref="O12:O15" si="2">O4/Q4</f>
        <v>8.1517747344298924E-3</v>
      </c>
      <c r="P12" s="347">
        <f t="shared" ref="P12:P15" si="3">P4/Q4</f>
        <v>4.935029232648231E-2</v>
      </c>
      <c r="Q12" s="348">
        <f t="shared" ref="Q12:Q15" si="4">N12+O12+P12</f>
        <v>1</v>
      </c>
    </row>
    <row r="13" spans="1:18" ht="14.4">
      <c r="A13" s="222"/>
      <c r="B13" s="218"/>
      <c r="C13" s="220"/>
      <c r="D13" s="220"/>
      <c r="E13" s="220"/>
      <c r="F13" s="220"/>
      <c r="G13" s="220"/>
      <c r="H13" s="220"/>
      <c r="M13" s="226" t="s">
        <v>39</v>
      </c>
      <c r="N13" s="347">
        <f t="shared" si="1"/>
        <v>0.38792775624783693</v>
      </c>
      <c r="O13" s="347">
        <f t="shared" si="2"/>
        <v>0.56070090283326424</v>
      </c>
      <c r="P13" s="347">
        <f t="shared" si="3"/>
        <v>5.1371340918898827E-2</v>
      </c>
      <c r="Q13" s="348">
        <f t="shared" si="4"/>
        <v>1</v>
      </c>
    </row>
    <row r="14" spans="1:18" ht="14.4">
      <c r="A14" s="222"/>
      <c r="B14" s="219"/>
      <c r="C14" s="219"/>
      <c r="D14" s="219"/>
      <c r="E14" s="219"/>
      <c r="F14" s="219"/>
      <c r="G14" s="219"/>
      <c r="H14" s="219"/>
      <c r="M14" s="226" t="s">
        <v>38</v>
      </c>
      <c r="N14" s="347">
        <f t="shared" si="1"/>
        <v>5.1017078211682804E-2</v>
      </c>
      <c r="O14" s="347">
        <f t="shared" si="2"/>
        <v>0.94691613183944312</v>
      </c>
      <c r="P14" s="347">
        <f t="shared" si="3"/>
        <v>2.0667899488741432E-3</v>
      </c>
      <c r="Q14" s="348">
        <f t="shared" si="4"/>
        <v>1</v>
      </c>
    </row>
    <row r="15" spans="1:18" ht="14.4">
      <c r="A15" s="222"/>
      <c r="B15" s="219"/>
      <c r="C15" s="219"/>
      <c r="D15" s="219"/>
      <c r="E15" s="219"/>
      <c r="F15" s="219"/>
      <c r="G15" s="219"/>
      <c r="H15" s="219"/>
      <c r="M15" s="226" t="s">
        <v>42</v>
      </c>
      <c r="N15" s="347">
        <f t="shared" si="1"/>
        <v>1.80681888496999E-2</v>
      </c>
      <c r="O15" s="347">
        <f t="shared" si="2"/>
        <v>0.97840480168306432</v>
      </c>
      <c r="P15" s="347">
        <f t="shared" si="3"/>
        <v>3.5270094672359394E-3</v>
      </c>
      <c r="Q15" s="348">
        <f t="shared" si="4"/>
        <v>1</v>
      </c>
    </row>
    <row r="16" spans="1:18" ht="14.4">
      <c r="A16" s="222"/>
      <c r="B16" s="219"/>
      <c r="C16" s="219"/>
      <c r="D16" s="219"/>
      <c r="E16" s="219"/>
      <c r="F16" s="219"/>
      <c r="G16" s="219"/>
      <c r="H16" s="219"/>
      <c r="O16" s="347"/>
    </row>
    <row r="17" spans="1:19" ht="17.399999999999999" customHeight="1">
      <c r="A17" s="222"/>
      <c r="B17" s="218"/>
      <c r="C17" s="220"/>
      <c r="D17" s="220"/>
      <c r="E17" s="220"/>
      <c r="F17" s="220"/>
      <c r="G17" s="220"/>
      <c r="H17" s="220"/>
      <c r="M17" s="226" t="s">
        <v>45</v>
      </c>
      <c r="N17" s="226" t="s">
        <v>49</v>
      </c>
    </row>
    <row r="18" spans="1:19" ht="14.4">
      <c r="A18" s="222"/>
      <c r="B18" s="219"/>
      <c r="C18" s="219"/>
      <c r="D18" s="219"/>
      <c r="E18" s="219"/>
      <c r="F18" s="219"/>
      <c r="G18" s="219"/>
      <c r="H18" s="219"/>
      <c r="M18" s="226" t="s">
        <v>46</v>
      </c>
      <c r="N18" s="349">
        <v>0</v>
      </c>
      <c r="O18" s="226" t="s">
        <v>129</v>
      </c>
    </row>
    <row r="19" spans="1:19" ht="14.4">
      <c r="A19" s="222"/>
      <c r="B19" s="219"/>
      <c r="C19" s="219"/>
      <c r="D19" s="219"/>
      <c r="E19" s="219"/>
      <c r="F19" s="219"/>
      <c r="G19" s="219"/>
      <c r="H19" s="219"/>
      <c r="M19" s="226" t="s">
        <v>47</v>
      </c>
      <c r="N19" s="349">
        <v>34.130000000000003</v>
      </c>
      <c r="O19" s="226" t="s">
        <v>129</v>
      </c>
    </row>
    <row r="20" spans="1:19" ht="14.4">
      <c r="A20" s="222"/>
      <c r="B20" s="219"/>
      <c r="C20" s="219"/>
      <c r="D20" s="219"/>
      <c r="E20" s="219"/>
      <c r="F20" s="219"/>
      <c r="G20" s="219"/>
      <c r="H20" s="219"/>
      <c r="M20" s="226" t="s">
        <v>48</v>
      </c>
      <c r="N20" s="349">
        <v>111</v>
      </c>
      <c r="O20" s="226" t="s">
        <v>129</v>
      </c>
    </row>
    <row r="21" spans="1:19" ht="14.4">
      <c r="A21" s="222"/>
      <c r="B21" s="218"/>
      <c r="C21" s="220"/>
      <c r="D21" s="220"/>
      <c r="E21" s="220"/>
      <c r="F21" s="220"/>
      <c r="G21" s="220"/>
      <c r="H21" s="220"/>
      <c r="M21" s="350" t="s">
        <v>96</v>
      </c>
      <c r="N21" s="349">
        <v>14.2</v>
      </c>
      <c r="O21" s="226" t="s">
        <v>129</v>
      </c>
    </row>
    <row r="22" spans="1:19" ht="14.4">
      <c r="A22" s="222"/>
      <c r="B22" s="219"/>
      <c r="C22" s="219"/>
      <c r="D22" s="219"/>
      <c r="E22" s="219"/>
      <c r="F22" s="219"/>
      <c r="G22" s="219"/>
      <c r="H22" s="219"/>
      <c r="N22" s="351">
        <f>N20/(N18+N19+N20+N21)</f>
        <v>0.69666729429485974</v>
      </c>
      <c r="P22" s="419"/>
      <c r="Q22" s="419"/>
      <c r="R22" s="419"/>
    </row>
    <row r="23" spans="1:19" ht="14.4">
      <c r="A23" s="222"/>
      <c r="B23" s="219"/>
      <c r="C23" s="219"/>
      <c r="D23" s="219"/>
      <c r="E23" s="219"/>
      <c r="F23" s="219"/>
      <c r="G23" s="219"/>
      <c r="H23" s="219"/>
      <c r="M23" s="352"/>
      <c r="N23" s="353"/>
      <c r="O23" s="354"/>
      <c r="P23" s="353"/>
      <c r="Q23" s="354"/>
      <c r="R23" s="353"/>
    </row>
    <row r="24" spans="1:19" ht="15.6">
      <c r="A24" s="222"/>
      <c r="B24" s="219"/>
      <c r="C24" s="219"/>
      <c r="D24" s="219"/>
      <c r="E24" s="219"/>
      <c r="F24" s="219"/>
      <c r="G24" s="219"/>
      <c r="H24" s="219"/>
      <c r="M24" s="355"/>
      <c r="N24" s="356"/>
      <c r="O24" s="356"/>
      <c r="P24" s="356"/>
      <c r="Q24" s="356"/>
    </row>
    <row r="25" spans="1:19" ht="15.6">
      <c r="A25" s="222"/>
      <c r="B25" s="218"/>
      <c r="C25" s="220"/>
      <c r="D25" s="220"/>
      <c r="E25" s="220"/>
      <c r="F25" s="220"/>
      <c r="G25" s="220"/>
      <c r="H25" s="220"/>
      <c r="M25" s="357"/>
      <c r="N25" s="356"/>
      <c r="O25" s="356"/>
      <c r="P25" s="356"/>
      <c r="Q25" s="356"/>
    </row>
    <row r="26" spans="1:19" ht="15.6">
      <c r="A26" s="222"/>
      <c r="B26" s="219"/>
      <c r="C26" s="219"/>
      <c r="D26" s="219"/>
      <c r="E26" s="219"/>
      <c r="F26" s="219"/>
      <c r="G26" s="219"/>
      <c r="H26" s="219"/>
      <c r="M26" s="357"/>
      <c r="N26" s="356"/>
      <c r="O26" s="356"/>
      <c r="P26" s="356"/>
      <c r="Q26" s="356"/>
    </row>
    <row r="27" spans="1:19" ht="14.4">
      <c r="A27" s="222"/>
      <c r="B27" s="219"/>
      <c r="C27" s="219"/>
      <c r="D27" s="219"/>
      <c r="E27" s="219"/>
      <c r="F27" s="219"/>
      <c r="G27" s="219"/>
      <c r="H27" s="219"/>
      <c r="M27" s="355"/>
      <c r="N27" s="345"/>
      <c r="O27" s="345"/>
      <c r="P27" s="345"/>
      <c r="Q27" s="345"/>
      <c r="R27" s="345"/>
      <c r="S27" s="358"/>
    </row>
    <row r="28" spans="1:19" ht="14.4">
      <c r="A28" s="222"/>
      <c r="B28" s="219"/>
      <c r="C28" s="219"/>
      <c r="D28" s="219"/>
      <c r="E28" s="219"/>
      <c r="F28" s="219"/>
      <c r="G28" s="219"/>
      <c r="H28" s="219"/>
      <c r="N28" s="346"/>
      <c r="O28" s="346"/>
      <c r="P28" s="346"/>
      <c r="Q28" s="346"/>
      <c r="R28" s="346"/>
    </row>
    <row r="29" spans="1:19" ht="15.6" customHeight="1">
      <c r="A29" s="223"/>
      <c r="B29" s="218"/>
      <c r="C29" s="218"/>
      <c r="D29" s="217"/>
      <c r="E29" s="217"/>
      <c r="F29" s="219"/>
      <c r="G29" s="219"/>
      <c r="H29" s="218"/>
      <c r="N29" s="359"/>
      <c r="O29" s="360"/>
      <c r="P29" s="360"/>
    </row>
    <row r="30" spans="1:19" ht="17.25" customHeight="1">
      <c r="A30" s="223"/>
      <c r="B30" s="218"/>
      <c r="C30" s="218"/>
      <c r="D30" s="217"/>
      <c r="E30" s="217"/>
      <c r="F30" s="219"/>
      <c r="G30" s="219"/>
      <c r="H30" s="218"/>
      <c r="N30" s="359"/>
      <c r="P30" s="359"/>
      <c r="Q30" s="360"/>
      <c r="R30" s="360"/>
    </row>
    <row r="31" spans="1:19" ht="11.25" customHeight="1">
      <c r="N31" s="359"/>
    </row>
    <row r="32" spans="1:19" ht="9.75" customHeight="1"/>
    <row r="33" spans="1:17" ht="25.5" customHeight="1">
      <c r="A33" s="414" t="s">
        <v>173</v>
      </c>
      <c r="B33" s="415" t="s">
        <v>62</v>
      </c>
      <c r="C33" s="32" t="s">
        <v>41</v>
      </c>
      <c r="D33" s="32" t="s">
        <v>40</v>
      </c>
      <c r="E33" s="32" t="s">
        <v>50</v>
      </c>
      <c r="F33" s="32" t="s">
        <v>38</v>
      </c>
      <c r="G33" s="32" t="s">
        <v>42</v>
      </c>
      <c r="H33" s="32" t="s">
        <v>0</v>
      </c>
      <c r="N33" s="361" t="s">
        <v>59</v>
      </c>
      <c r="O33" s="226" t="s">
        <v>60</v>
      </c>
    </row>
    <row r="34" spans="1:17" ht="14.4">
      <c r="A34" s="414"/>
      <c r="B34" s="416"/>
      <c r="C34" s="403" t="s">
        <v>52</v>
      </c>
      <c r="D34" s="403"/>
      <c r="E34" s="403"/>
      <c r="F34" s="403"/>
      <c r="G34" s="403"/>
      <c r="H34" s="403"/>
      <c r="M34" s="226" t="s">
        <v>44</v>
      </c>
      <c r="N34" s="226">
        <f>'Wskaźniki emisji 2010r'!B20/1000</f>
        <v>6.9999999999999999E-4</v>
      </c>
      <c r="O34" s="226">
        <f>N34*'Wskaźniki emisji 2015r'!B13</f>
        <v>8.6867200000000002E-3</v>
      </c>
    </row>
    <row r="35" spans="1:17" ht="14.4">
      <c r="A35" s="414"/>
      <c r="B35" s="416"/>
      <c r="C35" s="404" t="s">
        <v>51</v>
      </c>
      <c r="D35" s="405"/>
      <c r="E35" s="405"/>
      <c r="F35" s="405"/>
      <c r="G35" s="406"/>
      <c r="H35" s="27">
        <f>'Transport- rok bazowy '!H35*'Prognoza transport lokalny'!F38/'Prognoza transport lokalny'!F32</f>
        <v>23.072625355261255</v>
      </c>
      <c r="M35" s="226" t="s">
        <v>8</v>
      </c>
      <c r="N35" s="226">
        <f>'Wskaźniki emisji 2010r'!B19/1000</f>
        <v>8.3000000000000001E-4</v>
      </c>
      <c r="O35" s="226">
        <f>N35*'Wskaźniki emisji 2015r'!B12</f>
        <v>9.9620003000000009E-3</v>
      </c>
    </row>
    <row r="36" spans="1:17" ht="29.4" customHeight="1">
      <c r="A36" s="414"/>
      <c r="B36" s="417"/>
      <c r="C36" s="407" t="s">
        <v>53</v>
      </c>
      <c r="D36" s="407"/>
      <c r="E36" s="407"/>
      <c r="F36" s="407"/>
      <c r="G36" s="407"/>
      <c r="H36" s="407"/>
      <c r="M36" s="226" t="s">
        <v>12</v>
      </c>
      <c r="N36" s="226">
        <f>'Wskaźniki emisji 2010r'!B21/1000</f>
        <v>5.9999999999999995E-4</v>
      </c>
      <c r="O36" s="226">
        <f>N36*'Wskaźniki emisji 2015r'!B14</f>
        <v>7.8629219999999996E-3</v>
      </c>
    </row>
    <row r="37" spans="1:17" ht="14.4">
      <c r="A37" s="414"/>
      <c r="B37" s="27" t="s">
        <v>54</v>
      </c>
      <c r="C37" s="34">
        <f>R3</f>
        <v>0.77889621659146124</v>
      </c>
      <c r="D37" s="34">
        <f>R4</f>
        <v>7.740367927802845E-2</v>
      </c>
      <c r="E37" s="34">
        <f>R5</f>
        <v>0.1187087816730302</v>
      </c>
      <c r="F37" s="34">
        <f>R6</f>
        <v>1.9090593543908362E-2</v>
      </c>
      <c r="G37" s="34">
        <f>R7</f>
        <v>5.900728913571675E-3</v>
      </c>
      <c r="H37" s="37">
        <f>SUM(C37:G37)</f>
        <v>1</v>
      </c>
    </row>
    <row r="38" spans="1:17" ht="14.4">
      <c r="A38" s="414"/>
      <c r="B38" s="27" t="s">
        <v>44</v>
      </c>
      <c r="C38" s="34">
        <f>C37*N11</f>
        <v>0.50291847548980151</v>
      </c>
      <c r="D38" s="34">
        <f>D37*N12</f>
        <v>7.2952807721421931E-2</v>
      </c>
      <c r="E38" s="34">
        <f>E37*N13</f>
        <v>4.6050431321332949E-2</v>
      </c>
      <c r="F38" s="34">
        <f>F37*N14</f>
        <v>9.7394630393701971E-4</v>
      </c>
      <c r="G38" s="34">
        <f>G37*N15</f>
        <v>1.0661548436129754E-4</v>
      </c>
      <c r="H38" s="37">
        <f>SUM(C38:G38)</f>
        <v>0.62300227632085459</v>
      </c>
    </row>
    <row r="39" spans="1:17" ht="14.4">
      <c r="A39" s="414"/>
      <c r="B39" s="27" t="s">
        <v>8</v>
      </c>
      <c r="C39" s="34">
        <f>C37*O11</f>
        <v>0.17193949945424508</v>
      </c>
      <c r="D39" s="34">
        <f>D37*O12</f>
        <v>6.3097735709054692E-4</v>
      </c>
      <c r="E39" s="34">
        <f>E37*O13</f>
        <v>6.6560121058304889E-2</v>
      </c>
      <c r="F39" s="34">
        <f>F37*O14</f>
        <v>1.8077190993116752E-2</v>
      </c>
      <c r="G39" s="34">
        <f>G37*O15</f>
        <v>5.7733015024686186E-3</v>
      </c>
      <c r="H39" s="37">
        <f t="shared" ref="H39:H40" si="5">SUM(C39:G39)</f>
        <v>0.26298109036522593</v>
      </c>
      <c r="M39" s="226" t="s">
        <v>64</v>
      </c>
      <c r="N39" s="226" t="s">
        <v>65</v>
      </c>
      <c r="O39" s="226" t="s">
        <v>66</v>
      </c>
      <c r="P39" s="226" t="s">
        <v>67</v>
      </c>
      <c r="Q39" s="226" t="s">
        <v>68</v>
      </c>
    </row>
    <row r="40" spans="1:17" ht="14.4">
      <c r="A40" s="414"/>
      <c r="B40" s="27" t="s">
        <v>12</v>
      </c>
      <c r="C40" s="34">
        <f>C37*P11</f>
        <v>0.10403824164741465</v>
      </c>
      <c r="D40" s="34">
        <f>D37*P12</f>
        <v>3.8198941995159852E-3</v>
      </c>
      <c r="E40" s="34">
        <f>E37*P13</f>
        <v>6.0982292933923635E-3</v>
      </c>
      <c r="F40" s="34">
        <f>F37*P14</f>
        <v>3.9456246854591411E-5</v>
      </c>
      <c r="G40" s="34">
        <f>G37*P15</f>
        <v>2.0811926741760136E-5</v>
      </c>
      <c r="H40" s="37">
        <f t="shared" si="5"/>
        <v>0.11401663331391935</v>
      </c>
      <c r="M40" s="226" t="s">
        <v>44</v>
      </c>
      <c r="N40" s="362">
        <f>N11/Q11</f>
        <v>0.64568098390646977</v>
      </c>
      <c r="O40" s="362">
        <f>N13/Q13</f>
        <v>0.38792775624783693</v>
      </c>
    </row>
    <row r="41" spans="1:17" ht="14.4">
      <c r="A41" s="414"/>
      <c r="B41" s="22"/>
      <c r="C41" s="411" t="s">
        <v>55</v>
      </c>
      <c r="D41" s="412"/>
      <c r="E41" s="412"/>
      <c r="F41" s="412"/>
      <c r="G41" s="412"/>
      <c r="H41" s="413"/>
      <c r="M41" s="226" t="s">
        <v>8</v>
      </c>
      <c r="N41" s="362">
        <f>O11/Q11</f>
        <v>0.22074763722267385</v>
      </c>
      <c r="O41" s="362">
        <f>O13/Q13</f>
        <v>0.56070090283326424</v>
      </c>
    </row>
    <row r="42" spans="1:17" ht="14.4">
      <c r="A42" s="414"/>
      <c r="B42" s="27" t="s">
        <v>44</v>
      </c>
      <c r="C42" s="27">
        <v>0.08</v>
      </c>
      <c r="D42" s="27">
        <v>0.04</v>
      </c>
      <c r="E42" s="27">
        <v>0.13</v>
      </c>
      <c r="F42" s="27"/>
      <c r="G42" s="27"/>
      <c r="H42" s="27"/>
      <c r="M42" s="226" t="s">
        <v>12</v>
      </c>
      <c r="N42" s="362">
        <f>P11/Q11</f>
        <v>0.13357137887085635</v>
      </c>
    </row>
    <row r="43" spans="1:17" ht="14.4">
      <c r="A43" s="414"/>
      <c r="B43" s="27" t="s">
        <v>8</v>
      </c>
      <c r="C43" s="27">
        <v>7.0999999999999994E-2</v>
      </c>
      <c r="D43" s="27"/>
      <c r="E43" s="27">
        <v>0.29799999999999999</v>
      </c>
      <c r="F43" s="27">
        <v>0.29199999999999998</v>
      </c>
      <c r="G43" s="27"/>
      <c r="H43" s="27"/>
    </row>
    <row r="44" spans="1:17" ht="14.4">
      <c r="A44" s="414"/>
      <c r="B44" s="27" t="s">
        <v>12</v>
      </c>
      <c r="C44" s="27">
        <v>0.10199999999999999</v>
      </c>
      <c r="D44" s="27"/>
      <c r="E44" s="27"/>
      <c r="F44" s="27"/>
      <c r="G44" s="27"/>
      <c r="H44" s="27"/>
      <c r="N44" s="363" t="str">
        <f>C53</f>
        <v>Wyliczone zużycie paliwa (MWh)</v>
      </c>
    </row>
    <row r="45" spans="1:17" ht="14.4">
      <c r="A45" s="414"/>
      <c r="B45" s="22"/>
      <c r="C45" s="401" t="s">
        <v>56</v>
      </c>
      <c r="D45" s="401"/>
      <c r="E45" s="401"/>
      <c r="F45" s="401"/>
      <c r="G45" s="401"/>
      <c r="H45" s="401"/>
      <c r="M45" s="363" t="str">
        <f>B50</f>
        <v>Benzyna</v>
      </c>
      <c r="N45" s="363">
        <f>H54</f>
        <v>9848.5344266172287</v>
      </c>
    </row>
    <row r="46" spans="1:17" ht="14.4">
      <c r="A46" s="414"/>
      <c r="B46" s="27" t="s">
        <v>44</v>
      </c>
      <c r="C46" s="27">
        <f t="shared" ref="C46:F48" si="6">C38*$H$35</f>
        <v>11.60364956921533</v>
      </c>
      <c r="D46" s="27">
        <f t="shared" si="6"/>
        <v>1.6832128011707788</v>
      </c>
      <c r="E46" s="27">
        <f t="shared" si="6"/>
        <v>1.0625043493253037</v>
      </c>
      <c r="F46" s="27">
        <f t="shared" si="6"/>
        <v>2.2471498186880268E-2</v>
      </c>
      <c r="G46" s="27"/>
      <c r="H46" s="27">
        <f>SUM(C46:F46)</f>
        <v>14.371838217898292</v>
      </c>
      <c r="M46" s="363" t="str">
        <f t="shared" ref="M46:M47" si="7">B51</f>
        <v>Olej napędowy</v>
      </c>
      <c r="N46" s="363">
        <f t="shared" ref="N46:N47" si="8">H55</f>
        <v>8578.2500624272361</v>
      </c>
    </row>
    <row r="47" spans="1:17" ht="14.4">
      <c r="A47" s="414"/>
      <c r="B47" s="27" t="s">
        <v>8</v>
      </c>
      <c r="C47" s="27">
        <f t="shared" si="6"/>
        <v>3.967095654678944</v>
      </c>
      <c r="D47" s="27">
        <f t="shared" si="6"/>
        <v>1.4558304167803088E-2</v>
      </c>
      <c r="E47" s="27">
        <f t="shared" si="6"/>
        <v>1.535716736779104</v>
      </c>
      <c r="F47" s="27">
        <f t="shared" si="6"/>
        <v>0.41708825525968596</v>
      </c>
      <c r="G47" s="27"/>
      <c r="H47" s="27">
        <f t="shared" ref="H47:H48" si="9">SUM(C47:F47)</f>
        <v>5.9344589508855368</v>
      </c>
      <c r="M47" s="363" t="str">
        <f t="shared" si="7"/>
        <v>LPG</v>
      </c>
      <c r="N47" s="363">
        <f t="shared" si="8"/>
        <v>1925.1924819209066</v>
      </c>
    </row>
    <row r="48" spans="1:17" ht="14.4">
      <c r="A48" s="414"/>
      <c r="B48" s="27" t="s">
        <v>12</v>
      </c>
      <c r="C48" s="27">
        <f t="shared" si="6"/>
        <v>2.4004353721509371</v>
      </c>
      <c r="D48" s="27">
        <f t="shared" si="6"/>
        <v>8.8134987762167924E-2</v>
      </c>
      <c r="E48" s="27">
        <f t="shared" si="6"/>
        <v>0.14070215981692158</v>
      </c>
      <c r="F48" s="27">
        <f t="shared" si="6"/>
        <v>9.1035920160069297E-4</v>
      </c>
      <c r="G48" s="27"/>
      <c r="H48" s="27">
        <f t="shared" si="9"/>
        <v>2.6301828789316271</v>
      </c>
    </row>
    <row r="49" spans="1:19" ht="14.4">
      <c r="A49" s="414"/>
      <c r="B49" s="22"/>
      <c r="C49" s="401" t="s">
        <v>57</v>
      </c>
      <c r="D49" s="401"/>
      <c r="E49" s="401"/>
      <c r="F49" s="401"/>
      <c r="G49" s="401"/>
      <c r="H49" s="401"/>
    </row>
    <row r="50" spans="1:19" ht="14.4">
      <c r="A50" s="414"/>
      <c r="B50" s="27" t="s">
        <v>44</v>
      </c>
      <c r="C50" s="27">
        <f>C42*C46</f>
        <v>0.92829196553722637</v>
      </c>
      <c r="D50" s="27">
        <f t="shared" ref="D50:E50" si="10">D42*D46</f>
        <v>6.7328512046831157E-2</v>
      </c>
      <c r="E50" s="27">
        <f t="shared" si="10"/>
        <v>0.13812556541228949</v>
      </c>
      <c r="F50" s="27"/>
      <c r="G50" s="27"/>
      <c r="H50" s="27"/>
      <c r="M50" s="419"/>
      <c r="N50" s="419"/>
      <c r="O50" s="419"/>
      <c r="P50" s="419"/>
      <c r="Q50" s="419"/>
      <c r="R50" s="419"/>
    </row>
    <row r="51" spans="1:19" ht="14.25" customHeight="1">
      <c r="A51" s="414"/>
      <c r="B51" s="27" t="s">
        <v>8</v>
      </c>
      <c r="C51" s="27">
        <f t="shared" ref="C51" si="11">C43*C47</f>
        <v>0.28166379148220499</v>
      </c>
      <c r="D51" s="27"/>
      <c r="E51" s="27">
        <f t="shared" ref="E51:F51" si="12">E43*E47</f>
        <v>0.45764358756017298</v>
      </c>
      <c r="F51" s="27">
        <f t="shared" si="12"/>
        <v>0.12178977053582829</v>
      </c>
      <c r="G51" s="27"/>
      <c r="H51" s="27"/>
    </row>
    <row r="52" spans="1:19" ht="20.25" customHeight="1">
      <c r="A52" s="414"/>
      <c r="B52" s="27" t="s">
        <v>12</v>
      </c>
      <c r="C52" s="27">
        <f t="shared" ref="C52" si="13">C44*C48</f>
        <v>0.24484440795939558</v>
      </c>
      <c r="D52" s="27"/>
      <c r="E52" s="27"/>
      <c r="F52" s="27"/>
      <c r="G52" s="27"/>
      <c r="H52" s="27"/>
      <c r="M52" s="352"/>
      <c r="N52" s="353"/>
      <c r="O52" s="354"/>
      <c r="P52" s="353"/>
      <c r="Q52" s="354"/>
      <c r="R52" s="353"/>
    </row>
    <row r="53" spans="1:19" ht="17.25" customHeight="1">
      <c r="A53" s="414"/>
      <c r="B53" s="22"/>
      <c r="C53" s="401" t="s">
        <v>58</v>
      </c>
      <c r="D53" s="401"/>
      <c r="E53" s="401"/>
      <c r="F53" s="401"/>
      <c r="G53" s="401"/>
      <c r="H53" s="401"/>
      <c r="M53" s="355"/>
    </row>
    <row r="54" spans="1:19" ht="18" customHeight="1">
      <c r="A54" s="414"/>
      <c r="B54" s="27" t="s">
        <v>44</v>
      </c>
      <c r="C54" s="27">
        <f>C50*1000000*$O$34</f>
        <v>8063.8123828715352</v>
      </c>
      <c r="D54" s="27">
        <f>D50*1000000*$O$34</f>
        <v>584.86393216744909</v>
      </c>
      <c r="E54" s="27">
        <f>E50*1000000*$O$34</f>
        <v>1199.8581115782433</v>
      </c>
      <c r="F54" s="27"/>
      <c r="G54" s="27"/>
      <c r="H54" s="27">
        <f>SUM(C54:F54)</f>
        <v>9848.5344266172287</v>
      </c>
      <c r="M54" s="357"/>
    </row>
    <row r="55" spans="1:19" ht="17.25" customHeight="1">
      <c r="A55" s="414"/>
      <c r="B55" s="27" t="s">
        <v>8</v>
      </c>
      <c r="C55" s="27">
        <f>C51*1000000*$O$35</f>
        <v>2805.9347752448639</v>
      </c>
      <c r="D55" s="27"/>
      <c r="E55" s="27">
        <f>E51*1000000*$O$35</f>
        <v>4559.0455565675202</v>
      </c>
      <c r="F55" s="27">
        <f>F51*1000000*$O$35</f>
        <v>1213.2697306148527</v>
      </c>
      <c r="G55" s="27"/>
      <c r="H55" s="27">
        <f t="shared" ref="H55:H56" si="14">SUM(C55:F55)</f>
        <v>8578.2500624272361</v>
      </c>
      <c r="M55" s="357"/>
    </row>
    <row r="56" spans="1:19" ht="17.25" customHeight="1">
      <c r="A56" s="414"/>
      <c r="B56" s="27" t="s">
        <v>12</v>
      </c>
      <c r="C56" s="27">
        <f>C52*1000000*$O$36</f>
        <v>1925.1924819209066</v>
      </c>
      <c r="D56" s="27"/>
      <c r="E56" s="27"/>
      <c r="F56" s="27"/>
      <c r="G56" s="27"/>
      <c r="H56" s="27">
        <f t="shared" si="14"/>
        <v>1925.1924819209066</v>
      </c>
      <c r="M56" s="355"/>
      <c r="N56" s="345"/>
      <c r="O56" s="345"/>
      <c r="P56" s="345"/>
      <c r="Q56" s="345"/>
      <c r="R56" s="345"/>
      <c r="S56" s="364"/>
    </row>
    <row r="57" spans="1:19" ht="17.25" customHeight="1">
      <c r="A57" s="414"/>
      <c r="B57" s="22"/>
      <c r="C57" s="401" t="s">
        <v>61</v>
      </c>
      <c r="D57" s="401"/>
      <c r="E57" s="401"/>
      <c r="F57" s="401"/>
      <c r="G57" s="401"/>
      <c r="H57" s="401"/>
      <c r="N57" s="346"/>
      <c r="O57" s="346"/>
      <c r="P57" s="346"/>
      <c r="Q57" s="346"/>
      <c r="R57" s="346"/>
    </row>
    <row r="58" spans="1:19" ht="18" customHeight="1">
      <c r="A58" s="414"/>
      <c r="B58" s="27" t="s">
        <v>44</v>
      </c>
      <c r="C58" s="27">
        <f>C54*'Wskaźniki emisji 2015r'!$D$13</f>
        <v>1997.3219046527654</v>
      </c>
      <c r="D58" s="27">
        <f>D54*'Wskaźniki emisji 2015r'!$D$13</f>
        <v>144.86467287367753</v>
      </c>
      <c r="E58" s="27">
        <f>E54*'Wskaźniki emisji 2015r'!$D$13</f>
        <v>297.19229254650998</v>
      </c>
      <c r="F58" s="27"/>
      <c r="G58" s="27"/>
      <c r="H58" s="27">
        <f>SUM(C58:F58)</f>
        <v>2439.3788700729529</v>
      </c>
    </row>
    <row r="59" spans="1:19" ht="17.25" customHeight="1">
      <c r="A59" s="414"/>
      <c r="B59" s="27" t="s">
        <v>8</v>
      </c>
      <c r="C59" s="27">
        <f>C55*'Wskaźniki emisji 2015r'!$D$12</f>
        <v>742.81298580760244</v>
      </c>
      <c r="D59" s="27"/>
      <c r="E59" s="27">
        <f>E55*'Wskaźniki emisji 2015r'!$D$12</f>
        <v>1206.9126738739938</v>
      </c>
      <c r="F59" s="27">
        <f>F55*'Wskaźniki emisji 2015r'!$D$12</f>
        <v>321.18797597829297</v>
      </c>
      <c r="G59" s="27"/>
      <c r="H59" s="27">
        <f t="shared" ref="H59:H60" si="15">SUM(C59:F59)</f>
        <v>2270.9136356598892</v>
      </c>
      <c r="N59" s="359"/>
      <c r="O59" s="360"/>
      <c r="P59" s="360"/>
    </row>
    <row r="60" spans="1:19" ht="17.25" customHeight="1">
      <c r="A60" s="414"/>
      <c r="B60" s="27" t="s">
        <v>12</v>
      </c>
      <c r="C60" s="27">
        <f>C56*'Wskaźniki emisji 2015r'!D14</f>
        <v>433.96757606910256</v>
      </c>
      <c r="D60" s="27"/>
      <c r="E60" s="27"/>
      <c r="F60" s="27"/>
      <c r="G60" s="27"/>
      <c r="H60" s="27">
        <f t="shared" si="15"/>
        <v>433.96757606910256</v>
      </c>
      <c r="N60" s="359"/>
      <c r="P60" s="359"/>
      <c r="Q60" s="360"/>
      <c r="R60" s="360"/>
    </row>
    <row r="61" spans="1:19">
      <c r="D61" s="408" t="s">
        <v>63</v>
      </c>
      <c r="E61" s="408"/>
      <c r="F61" s="36">
        <f>H56+H55+H54</f>
        <v>20351.97697096537</v>
      </c>
      <c r="G61" s="36"/>
      <c r="H61" s="35" t="s">
        <v>1</v>
      </c>
      <c r="N61" s="359"/>
    </row>
    <row r="62" spans="1:19">
      <c r="D62" s="409" t="s">
        <v>105</v>
      </c>
      <c r="E62" s="409"/>
      <c r="F62" s="36">
        <f>H60+H59+H58</f>
        <v>5144.2600818019446</v>
      </c>
      <c r="G62" s="36"/>
      <c r="H62" s="35" t="s">
        <v>104</v>
      </c>
    </row>
  </sheetData>
  <mergeCells count="18">
    <mergeCell ref="D61:E61"/>
    <mergeCell ref="D62:E62"/>
    <mergeCell ref="C57:H57"/>
    <mergeCell ref="C53:H53"/>
    <mergeCell ref="C35:G35"/>
    <mergeCell ref="A33:A60"/>
    <mergeCell ref="M1:M2"/>
    <mergeCell ref="N1:P1"/>
    <mergeCell ref="B33:B36"/>
    <mergeCell ref="C34:H34"/>
    <mergeCell ref="C36:H36"/>
    <mergeCell ref="C41:H41"/>
    <mergeCell ref="M50:R50"/>
    <mergeCell ref="P22:R22"/>
    <mergeCell ref="C45:H45"/>
    <mergeCell ref="N9:P9"/>
    <mergeCell ref="C49:H49"/>
    <mergeCell ref="M9:M10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30" max="6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view="pageBreakPreview" zoomScale="93" zoomScaleNormal="100" zoomScaleSheetLayoutView="93" workbookViewId="0">
      <selection activeCell="C17" sqref="C17"/>
    </sheetView>
  </sheetViews>
  <sheetFormatPr defaultRowHeight="14.4"/>
  <cols>
    <col min="1" max="1" width="4.88671875" style="10" customWidth="1"/>
    <col min="2" max="2" width="17.88671875" style="81" customWidth="1"/>
    <col min="3" max="3" width="14.33203125" style="81" customWidth="1"/>
    <col min="4" max="4" width="15.33203125" style="10" customWidth="1"/>
    <col min="5" max="5" width="11.33203125" style="10" customWidth="1"/>
    <col min="6" max="6" width="14.109375" style="10" customWidth="1"/>
    <col min="7" max="7" width="12.5546875" style="10" customWidth="1"/>
    <col min="8" max="8" width="12.6640625" style="10" customWidth="1"/>
    <col min="9" max="9" width="11.33203125" customWidth="1"/>
    <col min="10" max="13" width="8.88671875" style="155"/>
  </cols>
  <sheetData>
    <row r="1" spans="1:13">
      <c r="A1" s="424" t="s">
        <v>179</v>
      </c>
      <c r="B1" s="424"/>
      <c r="C1" s="424"/>
      <c r="D1" s="424"/>
      <c r="E1" s="424"/>
      <c r="F1" s="424"/>
      <c r="G1" s="424"/>
      <c r="H1" s="424"/>
    </row>
    <row r="2" spans="1:13" ht="28.95" customHeight="1">
      <c r="A2" s="84" t="s">
        <v>21</v>
      </c>
      <c r="B2" s="425" t="s">
        <v>180</v>
      </c>
      <c r="C2" s="82" t="s">
        <v>130</v>
      </c>
      <c r="D2" s="38" t="s">
        <v>95</v>
      </c>
      <c r="E2" s="9" t="s">
        <v>29</v>
      </c>
      <c r="F2" s="9" t="s">
        <v>106</v>
      </c>
      <c r="G2" s="9" t="s">
        <v>28</v>
      </c>
      <c r="H2" s="9" t="s">
        <v>32</v>
      </c>
    </row>
    <row r="3" spans="1:13">
      <c r="A3" s="85"/>
      <c r="B3" s="426"/>
      <c r="C3" s="83"/>
      <c r="D3" s="9" t="s">
        <v>31</v>
      </c>
      <c r="E3" s="9" t="s">
        <v>30</v>
      </c>
      <c r="F3" s="9" t="s">
        <v>27</v>
      </c>
      <c r="G3" s="9" t="s">
        <v>1</v>
      </c>
      <c r="H3" s="9" t="s">
        <v>3</v>
      </c>
    </row>
    <row r="4" spans="1:13" ht="20.399999999999999" customHeight="1">
      <c r="A4" s="429">
        <v>1</v>
      </c>
      <c r="B4" s="427" t="s">
        <v>181</v>
      </c>
      <c r="C4" s="420" t="s">
        <v>339</v>
      </c>
      <c r="D4" s="86">
        <v>70</v>
      </c>
      <c r="E4" s="86">
        <v>10</v>
      </c>
      <c r="F4" s="86">
        <v>4024</v>
      </c>
      <c r="G4" s="87">
        <f>D4*F4*E4/1000000</f>
        <v>2.8168000000000002</v>
      </c>
      <c r="H4" s="87">
        <f>'Wskaźniki emisji 2015r'!$D$15*G4</f>
        <v>2.2872416000000002</v>
      </c>
      <c r="J4" s="156">
        <f>G4+G5</f>
        <v>159.75280000000001</v>
      </c>
      <c r="M4" s="155">
        <f>D4*E4</f>
        <v>700</v>
      </c>
    </row>
    <row r="5" spans="1:13">
      <c r="A5" s="428"/>
      <c r="B5" s="428"/>
      <c r="C5" s="421"/>
      <c r="D5" s="86">
        <v>100</v>
      </c>
      <c r="E5" s="86">
        <v>390</v>
      </c>
      <c r="F5" s="86">
        <v>4024</v>
      </c>
      <c r="G5" s="87">
        <f t="shared" ref="G5:G8" si="0">D5*F5*E5/1000000</f>
        <v>156.93600000000001</v>
      </c>
      <c r="H5" s="87">
        <f>'Wskaźniki emisji 2015r'!$D$15*G5</f>
        <v>127.43203200000002</v>
      </c>
      <c r="M5" s="155">
        <f t="shared" ref="M5:M8" si="1">D5*E5</f>
        <v>39000</v>
      </c>
    </row>
    <row r="6" spans="1:13">
      <c r="A6" s="428"/>
      <c r="B6" s="428"/>
      <c r="C6" s="421"/>
      <c r="D6" s="86">
        <v>150</v>
      </c>
      <c r="E6" s="86">
        <v>147</v>
      </c>
      <c r="F6" s="86">
        <v>4024</v>
      </c>
      <c r="G6" s="87">
        <f t="shared" si="0"/>
        <v>88.729200000000006</v>
      </c>
      <c r="H6" s="87">
        <f>'Wskaźniki emisji 2015r'!$D$15*G6</f>
        <v>72.048110400000013</v>
      </c>
      <c r="J6" s="156" t="e">
        <f>G6+G7+G8+#REF!</f>
        <v>#REF!</v>
      </c>
      <c r="M6" s="155">
        <f t="shared" si="1"/>
        <v>22050</v>
      </c>
    </row>
    <row r="7" spans="1:13">
      <c r="A7" s="428"/>
      <c r="B7" s="428"/>
      <c r="C7" s="421"/>
      <c r="D7" s="86">
        <v>250</v>
      </c>
      <c r="E7" s="86">
        <v>19</v>
      </c>
      <c r="F7" s="86">
        <v>4024</v>
      </c>
      <c r="G7" s="87">
        <f t="shared" si="0"/>
        <v>19.114000000000001</v>
      </c>
      <c r="H7" s="87">
        <f>'Wskaźniki emisji 2015r'!$D$15*G7</f>
        <v>15.520568000000001</v>
      </c>
      <c r="M7" s="155">
        <f t="shared" si="1"/>
        <v>4750</v>
      </c>
    </row>
    <row r="8" spans="1:13">
      <c r="A8" s="428"/>
      <c r="B8" s="428"/>
      <c r="C8" s="421"/>
      <c r="D8" s="86">
        <v>400</v>
      </c>
      <c r="E8" s="86">
        <v>8</v>
      </c>
      <c r="F8" s="86">
        <v>4024</v>
      </c>
      <c r="G8" s="87">
        <f t="shared" si="0"/>
        <v>12.876799999999999</v>
      </c>
      <c r="H8" s="87">
        <f>'Wskaźniki emisji 2015r'!$D$15*G8</f>
        <v>10.4559616</v>
      </c>
      <c r="M8" s="155">
        <f t="shared" si="1"/>
        <v>3200</v>
      </c>
    </row>
    <row r="9" spans="1:13">
      <c r="A9" s="423" t="s">
        <v>0</v>
      </c>
      <c r="B9" s="423"/>
      <c r="C9" s="423"/>
      <c r="D9" s="423"/>
      <c r="E9" s="39">
        <f>SUM(E4:E8)</f>
        <v>574</v>
      </c>
      <c r="F9" s="88"/>
      <c r="G9" s="89">
        <f>SUM(G4:G8)</f>
        <v>280.47280000000001</v>
      </c>
      <c r="H9" s="89">
        <f>SUM(H4:H8)</f>
        <v>227.74391360000001</v>
      </c>
      <c r="M9" s="155">
        <f>SUM(M4:M8)/1000</f>
        <v>69.7</v>
      </c>
    </row>
    <row r="10" spans="1:13">
      <c r="A10" s="422" t="s">
        <v>182</v>
      </c>
      <c r="B10" s="422"/>
      <c r="C10" s="422"/>
      <c r="D10" s="422"/>
      <c r="E10" s="194">
        <f>E9</f>
        <v>574</v>
      </c>
      <c r="F10" s="227"/>
      <c r="G10" s="89">
        <f>G9</f>
        <v>280.47280000000001</v>
      </c>
      <c r="H10" s="89">
        <f>H9</f>
        <v>227.74391360000001</v>
      </c>
    </row>
  </sheetData>
  <mergeCells count="7">
    <mergeCell ref="C4:C8"/>
    <mergeCell ref="A10:D10"/>
    <mergeCell ref="A9:D9"/>
    <mergeCell ref="A1:H1"/>
    <mergeCell ref="B2:B3"/>
    <mergeCell ref="B4:B8"/>
    <mergeCell ref="A4:A8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152"/>
  <sheetViews>
    <sheetView view="pageBreakPreview" topLeftCell="A22" zoomScale="80" zoomScaleNormal="120" zoomScaleSheetLayoutView="80" workbookViewId="0">
      <selection activeCell="P130" sqref="P3:P130"/>
    </sheetView>
  </sheetViews>
  <sheetFormatPr defaultColWidth="9.109375" defaultRowHeight="13.8"/>
  <cols>
    <col min="1" max="1" width="3.5546875" style="72" customWidth="1"/>
    <col min="2" max="2" width="11.109375" style="195" customWidth="1"/>
    <col min="3" max="3" width="11" style="72" bestFit="1" customWidth="1"/>
    <col min="4" max="4" width="8.33203125" style="72" customWidth="1"/>
    <col min="5" max="5" width="12.77734375" style="72" customWidth="1"/>
    <col min="6" max="6" width="11.44140625" style="72" customWidth="1"/>
    <col min="7" max="7" width="12.21875" style="72" customWidth="1"/>
    <col min="8" max="8" width="13.109375" style="73" customWidth="1"/>
    <col min="9" max="9" width="10.5546875" style="72" customWidth="1"/>
    <col min="10" max="10" width="7.109375" style="72" customWidth="1"/>
    <col min="11" max="11" width="12.44140625" style="72" customWidth="1"/>
    <col min="12" max="16" width="12.44140625" style="195" customWidth="1"/>
    <col min="17" max="17" width="10.33203125" style="72" customWidth="1"/>
    <col min="18" max="18" width="6.44140625" style="72" customWidth="1"/>
    <col min="19" max="19" width="7.21875" style="8" customWidth="1"/>
    <col min="20" max="20" width="6.21875" style="8" customWidth="1"/>
    <col min="21" max="21" width="9.77734375" style="8" customWidth="1"/>
    <col min="22" max="22" width="9" style="7" customWidth="1"/>
    <col min="23" max="23" width="9.109375" style="7" customWidth="1"/>
    <col min="24" max="25" width="9.109375" style="2"/>
    <col min="26" max="26" width="10.44140625" style="2" bestFit="1" customWidth="1"/>
    <col min="27" max="232" width="9.109375" style="2"/>
    <col min="233" max="233" width="4.44140625" style="2" bestFit="1" customWidth="1"/>
    <col min="234" max="234" width="22.109375" style="2" customWidth="1"/>
    <col min="235" max="235" width="22" style="2" customWidth="1"/>
    <col min="236" max="237" width="0" style="2" hidden="1" customWidth="1"/>
    <col min="238" max="238" width="17" style="2" customWidth="1"/>
    <col min="239" max="239" width="9.109375" style="2"/>
    <col min="240" max="240" width="10.5546875" style="2" customWidth="1"/>
    <col min="241" max="241" width="15.33203125" style="2" customWidth="1"/>
    <col min="242" max="242" width="9.33203125" style="2" customWidth="1"/>
    <col min="243" max="243" width="9" style="2" customWidth="1"/>
    <col min="244" max="244" width="8.33203125" style="2" customWidth="1"/>
    <col min="245" max="245" width="11.88671875" style="2" customWidth="1"/>
    <col min="246" max="246" width="9.88671875" style="2" customWidth="1"/>
    <col min="247" max="247" width="8.109375" style="2" customWidth="1"/>
    <col min="248" max="248" width="9.88671875" style="2" customWidth="1"/>
    <col min="249" max="249" width="14.33203125" style="2" customWidth="1"/>
    <col min="250" max="250" width="15.33203125" style="2" customWidth="1"/>
    <col min="251" max="254" width="11.33203125" style="2" customWidth="1"/>
    <col min="255" max="255" width="19.109375" style="2" customWidth="1"/>
    <col min="256" max="256" width="19" style="2" customWidth="1"/>
    <col min="257" max="279" width="0" style="2" hidden="1" customWidth="1"/>
    <col min="280" max="281" width="9.109375" style="2"/>
    <col min="282" max="282" width="10.44140625" style="2" bestFit="1" customWidth="1"/>
    <col min="283" max="488" width="9.109375" style="2"/>
    <col min="489" max="489" width="4.44140625" style="2" bestFit="1" customWidth="1"/>
    <col min="490" max="490" width="22.109375" style="2" customWidth="1"/>
    <col min="491" max="491" width="22" style="2" customWidth="1"/>
    <col min="492" max="493" width="0" style="2" hidden="1" customWidth="1"/>
    <col min="494" max="494" width="17" style="2" customWidth="1"/>
    <col min="495" max="495" width="9.109375" style="2"/>
    <col min="496" max="496" width="10.5546875" style="2" customWidth="1"/>
    <col min="497" max="497" width="15.33203125" style="2" customWidth="1"/>
    <col min="498" max="498" width="9.33203125" style="2" customWidth="1"/>
    <col min="499" max="499" width="9" style="2" customWidth="1"/>
    <col min="500" max="500" width="8.33203125" style="2" customWidth="1"/>
    <col min="501" max="501" width="11.88671875" style="2" customWidth="1"/>
    <col min="502" max="502" width="9.88671875" style="2" customWidth="1"/>
    <col min="503" max="503" width="8.109375" style="2" customWidth="1"/>
    <col min="504" max="504" width="9.88671875" style="2" customWidth="1"/>
    <col min="505" max="505" width="14.33203125" style="2" customWidth="1"/>
    <col min="506" max="506" width="15.33203125" style="2" customWidth="1"/>
    <col min="507" max="510" width="11.33203125" style="2" customWidth="1"/>
    <col min="511" max="511" width="19.109375" style="2" customWidth="1"/>
    <col min="512" max="512" width="19" style="2" customWidth="1"/>
    <col min="513" max="535" width="0" style="2" hidden="1" customWidth="1"/>
    <col min="536" max="537" width="9.109375" style="2"/>
    <col min="538" max="538" width="10.44140625" style="2" bestFit="1" customWidth="1"/>
    <col min="539" max="744" width="9.109375" style="2"/>
    <col min="745" max="745" width="4.44140625" style="2" bestFit="1" customWidth="1"/>
    <col min="746" max="746" width="22.109375" style="2" customWidth="1"/>
    <col min="747" max="747" width="22" style="2" customWidth="1"/>
    <col min="748" max="749" width="0" style="2" hidden="1" customWidth="1"/>
    <col min="750" max="750" width="17" style="2" customWidth="1"/>
    <col min="751" max="751" width="9.109375" style="2"/>
    <col min="752" max="752" width="10.5546875" style="2" customWidth="1"/>
    <col min="753" max="753" width="15.33203125" style="2" customWidth="1"/>
    <col min="754" max="754" width="9.33203125" style="2" customWidth="1"/>
    <col min="755" max="755" width="9" style="2" customWidth="1"/>
    <col min="756" max="756" width="8.33203125" style="2" customWidth="1"/>
    <col min="757" max="757" width="11.88671875" style="2" customWidth="1"/>
    <col min="758" max="758" width="9.88671875" style="2" customWidth="1"/>
    <col min="759" max="759" width="8.109375" style="2" customWidth="1"/>
    <col min="760" max="760" width="9.88671875" style="2" customWidth="1"/>
    <col min="761" max="761" width="14.33203125" style="2" customWidth="1"/>
    <col min="762" max="762" width="15.33203125" style="2" customWidth="1"/>
    <col min="763" max="766" width="11.33203125" style="2" customWidth="1"/>
    <col min="767" max="767" width="19.109375" style="2" customWidth="1"/>
    <col min="768" max="768" width="19" style="2" customWidth="1"/>
    <col min="769" max="791" width="0" style="2" hidden="1" customWidth="1"/>
    <col min="792" max="793" width="9.109375" style="2"/>
    <col min="794" max="794" width="10.44140625" style="2" bestFit="1" customWidth="1"/>
    <col min="795" max="1000" width="9.109375" style="2"/>
    <col min="1001" max="1001" width="4.44140625" style="2" bestFit="1" customWidth="1"/>
    <col min="1002" max="1002" width="22.109375" style="2" customWidth="1"/>
    <col min="1003" max="1003" width="22" style="2" customWidth="1"/>
    <col min="1004" max="1005" width="0" style="2" hidden="1" customWidth="1"/>
    <col min="1006" max="1006" width="17" style="2" customWidth="1"/>
    <col min="1007" max="1007" width="9.109375" style="2"/>
    <col min="1008" max="1008" width="10.5546875" style="2" customWidth="1"/>
    <col min="1009" max="1009" width="15.33203125" style="2" customWidth="1"/>
    <col min="1010" max="1010" width="9.33203125" style="2" customWidth="1"/>
    <col min="1011" max="1011" width="9" style="2" customWidth="1"/>
    <col min="1012" max="1012" width="8.33203125" style="2" customWidth="1"/>
    <col min="1013" max="1013" width="11.88671875" style="2" customWidth="1"/>
    <col min="1014" max="1014" width="9.88671875" style="2" customWidth="1"/>
    <col min="1015" max="1015" width="8.109375" style="2" customWidth="1"/>
    <col min="1016" max="1016" width="9.88671875" style="2" customWidth="1"/>
    <col min="1017" max="1017" width="14.33203125" style="2" customWidth="1"/>
    <col min="1018" max="1018" width="15.33203125" style="2" customWidth="1"/>
    <col min="1019" max="1022" width="11.33203125" style="2" customWidth="1"/>
    <col min="1023" max="1023" width="19.109375" style="2" customWidth="1"/>
    <col min="1024" max="1024" width="19" style="2" customWidth="1"/>
    <col min="1025" max="1047" width="0" style="2" hidden="1" customWidth="1"/>
    <col min="1048" max="1049" width="9.109375" style="2"/>
    <col min="1050" max="1050" width="10.44140625" style="2" bestFit="1" customWidth="1"/>
    <col min="1051" max="1256" width="9.109375" style="2"/>
    <col min="1257" max="1257" width="4.44140625" style="2" bestFit="1" customWidth="1"/>
    <col min="1258" max="1258" width="22.109375" style="2" customWidth="1"/>
    <col min="1259" max="1259" width="22" style="2" customWidth="1"/>
    <col min="1260" max="1261" width="0" style="2" hidden="1" customWidth="1"/>
    <col min="1262" max="1262" width="17" style="2" customWidth="1"/>
    <col min="1263" max="1263" width="9.109375" style="2"/>
    <col min="1264" max="1264" width="10.5546875" style="2" customWidth="1"/>
    <col min="1265" max="1265" width="15.33203125" style="2" customWidth="1"/>
    <col min="1266" max="1266" width="9.33203125" style="2" customWidth="1"/>
    <col min="1267" max="1267" width="9" style="2" customWidth="1"/>
    <col min="1268" max="1268" width="8.33203125" style="2" customWidth="1"/>
    <col min="1269" max="1269" width="11.88671875" style="2" customWidth="1"/>
    <col min="1270" max="1270" width="9.88671875" style="2" customWidth="1"/>
    <col min="1271" max="1271" width="8.109375" style="2" customWidth="1"/>
    <col min="1272" max="1272" width="9.88671875" style="2" customWidth="1"/>
    <col min="1273" max="1273" width="14.33203125" style="2" customWidth="1"/>
    <col min="1274" max="1274" width="15.33203125" style="2" customWidth="1"/>
    <col min="1275" max="1278" width="11.33203125" style="2" customWidth="1"/>
    <col min="1279" max="1279" width="19.109375" style="2" customWidth="1"/>
    <col min="1280" max="1280" width="19" style="2" customWidth="1"/>
    <col min="1281" max="1303" width="0" style="2" hidden="1" customWidth="1"/>
    <col min="1304" max="1305" width="9.109375" style="2"/>
    <col min="1306" max="1306" width="10.44140625" style="2" bestFit="1" customWidth="1"/>
    <col min="1307" max="1512" width="9.109375" style="2"/>
    <col min="1513" max="1513" width="4.44140625" style="2" bestFit="1" customWidth="1"/>
    <col min="1514" max="1514" width="22.109375" style="2" customWidth="1"/>
    <col min="1515" max="1515" width="22" style="2" customWidth="1"/>
    <col min="1516" max="1517" width="0" style="2" hidden="1" customWidth="1"/>
    <col min="1518" max="1518" width="17" style="2" customWidth="1"/>
    <col min="1519" max="1519" width="9.109375" style="2"/>
    <col min="1520" max="1520" width="10.5546875" style="2" customWidth="1"/>
    <col min="1521" max="1521" width="15.33203125" style="2" customWidth="1"/>
    <col min="1522" max="1522" width="9.33203125" style="2" customWidth="1"/>
    <col min="1523" max="1523" width="9" style="2" customWidth="1"/>
    <col min="1524" max="1524" width="8.33203125" style="2" customWidth="1"/>
    <col min="1525" max="1525" width="11.88671875" style="2" customWidth="1"/>
    <col min="1526" max="1526" width="9.88671875" style="2" customWidth="1"/>
    <col min="1527" max="1527" width="8.109375" style="2" customWidth="1"/>
    <col min="1528" max="1528" width="9.88671875" style="2" customWidth="1"/>
    <col min="1529" max="1529" width="14.33203125" style="2" customWidth="1"/>
    <col min="1530" max="1530" width="15.33203125" style="2" customWidth="1"/>
    <col min="1531" max="1534" width="11.33203125" style="2" customWidth="1"/>
    <col min="1535" max="1535" width="19.109375" style="2" customWidth="1"/>
    <col min="1536" max="1536" width="19" style="2" customWidth="1"/>
    <col min="1537" max="1559" width="0" style="2" hidden="1" customWidth="1"/>
    <col min="1560" max="1561" width="9.109375" style="2"/>
    <col min="1562" max="1562" width="10.44140625" style="2" bestFit="1" customWidth="1"/>
    <col min="1563" max="1768" width="9.109375" style="2"/>
    <col min="1769" max="1769" width="4.44140625" style="2" bestFit="1" customWidth="1"/>
    <col min="1770" max="1770" width="22.109375" style="2" customWidth="1"/>
    <col min="1771" max="1771" width="22" style="2" customWidth="1"/>
    <col min="1772" max="1773" width="0" style="2" hidden="1" customWidth="1"/>
    <col min="1774" max="1774" width="17" style="2" customWidth="1"/>
    <col min="1775" max="1775" width="9.109375" style="2"/>
    <col min="1776" max="1776" width="10.5546875" style="2" customWidth="1"/>
    <col min="1777" max="1777" width="15.33203125" style="2" customWidth="1"/>
    <col min="1778" max="1778" width="9.33203125" style="2" customWidth="1"/>
    <col min="1779" max="1779" width="9" style="2" customWidth="1"/>
    <col min="1780" max="1780" width="8.33203125" style="2" customWidth="1"/>
    <col min="1781" max="1781" width="11.88671875" style="2" customWidth="1"/>
    <col min="1782" max="1782" width="9.88671875" style="2" customWidth="1"/>
    <col min="1783" max="1783" width="8.109375" style="2" customWidth="1"/>
    <col min="1784" max="1784" width="9.88671875" style="2" customWidth="1"/>
    <col min="1785" max="1785" width="14.33203125" style="2" customWidth="1"/>
    <col min="1786" max="1786" width="15.33203125" style="2" customWidth="1"/>
    <col min="1787" max="1790" width="11.33203125" style="2" customWidth="1"/>
    <col min="1791" max="1791" width="19.109375" style="2" customWidth="1"/>
    <col min="1792" max="1792" width="19" style="2" customWidth="1"/>
    <col min="1793" max="1815" width="0" style="2" hidden="1" customWidth="1"/>
    <col min="1816" max="1817" width="9.109375" style="2"/>
    <col min="1818" max="1818" width="10.44140625" style="2" bestFit="1" customWidth="1"/>
    <col min="1819" max="2024" width="9.109375" style="2"/>
    <col min="2025" max="2025" width="4.44140625" style="2" bestFit="1" customWidth="1"/>
    <col min="2026" max="2026" width="22.109375" style="2" customWidth="1"/>
    <col min="2027" max="2027" width="22" style="2" customWidth="1"/>
    <col min="2028" max="2029" width="0" style="2" hidden="1" customWidth="1"/>
    <col min="2030" max="2030" width="17" style="2" customWidth="1"/>
    <col min="2031" max="2031" width="9.109375" style="2"/>
    <col min="2032" max="2032" width="10.5546875" style="2" customWidth="1"/>
    <col min="2033" max="2033" width="15.33203125" style="2" customWidth="1"/>
    <col min="2034" max="2034" width="9.33203125" style="2" customWidth="1"/>
    <col min="2035" max="2035" width="9" style="2" customWidth="1"/>
    <col min="2036" max="2036" width="8.33203125" style="2" customWidth="1"/>
    <col min="2037" max="2037" width="11.88671875" style="2" customWidth="1"/>
    <col min="2038" max="2038" width="9.88671875" style="2" customWidth="1"/>
    <col min="2039" max="2039" width="8.109375" style="2" customWidth="1"/>
    <col min="2040" max="2040" width="9.88671875" style="2" customWidth="1"/>
    <col min="2041" max="2041" width="14.33203125" style="2" customWidth="1"/>
    <col min="2042" max="2042" width="15.33203125" style="2" customWidth="1"/>
    <col min="2043" max="2046" width="11.33203125" style="2" customWidth="1"/>
    <col min="2047" max="2047" width="19.109375" style="2" customWidth="1"/>
    <col min="2048" max="2048" width="19" style="2" customWidth="1"/>
    <col min="2049" max="2071" width="0" style="2" hidden="1" customWidth="1"/>
    <col min="2072" max="2073" width="9.109375" style="2"/>
    <col min="2074" max="2074" width="10.44140625" style="2" bestFit="1" customWidth="1"/>
    <col min="2075" max="2280" width="9.109375" style="2"/>
    <col min="2281" max="2281" width="4.44140625" style="2" bestFit="1" customWidth="1"/>
    <col min="2282" max="2282" width="22.109375" style="2" customWidth="1"/>
    <col min="2283" max="2283" width="22" style="2" customWidth="1"/>
    <col min="2284" max="2285" width="0" style="2" hidden="1" customWidth="1"/>
    <col min="2286" max="2286" width="17" style="2" customWidth="1"/>
    <col min="2287" max="2287" width="9.109375" style="2"/>
    <col min="2288" max="2288" width="10.5546875" style="2" customWidth="1"/>
    <col min="2289" max="2289" width="15.33203125" style="2" customWidth="1"/>
    <col min="2290" max="2290" width="9.33203125" style="2" customWidth="1"/>
    <col min="2291" max="2291" width="9" style="2" customWidth="1"/>
    <col min="2292" max="2292" width="8.33203125" style="2" customWidth="1"/>
    <col min="2293" max="2293" width="11.88671875" style="2" customWidth="1"/>
    <col min="2294" max="2294" width="9.88671875" style="2" customWidth="1"/>
    <col min="2295" max="2295" width="8.109375" style="2" customWidth="1"/>
    <col min="2296" max="2296" width="9.88671875" style="2" customWidth="1"/>
    <col min="2297" max="2297" width="14.33203125" style="2" customWidth="1"/>
    <col min="2298" max="2298" width="15.33203125" style="2" customWidth="1"/>
    <col min="2299" max="2302" width="11.33203125" style="2" customWidth="1"/>
    <col min="2303" max="2303" width="19.109375" style="2" customWidth="1"/>
    <col min="2304" max="2304" width="19" style="2" customWidth="1"/>
    <col min="2305" max="2327" width="0" style="2" hidden="1" customWidth="1"/>
    <col min="2328" max="2329" width="9.109375" style="2"/>
    <col min="2330" max="2330" width="10.44140625" style="2" bestFit="1" customWidth="1"/>
    <col min="2331" max="2536" width="9.109375" style="2"/>
    <col min="2537" max="2537" width="4.44140625" style="2" bestFit="1" customWidth="1"/>
    <col min="2538" max="2538" width="22.109375" style="2" customWidth="1"/>
    <col min="2539" max="2539" width="22" style="2" customWidth="1"/>
    <col min="2540" max="2541" width="0" style="2" hidden="1" customWidth="1"/>
    <col min="2542" max="2542" width="17" style="2" customWidth="1"/>
    <col min="2543" max="2543" width="9.109375" style="2"/>
    <col min="2544" max="2544" width="10.5546875" style="2" customWidth="1"/>
    <col min="2545" max="2545" width="15.33203125" style="2" customWidth="1"/>
    <col min="2546" max="2546" width="9.33203125" style="2" customWidth="1"/>
    <col min="2547" max="2547" width="9" style="2" customWidth="1"/>
    <col min="2548" max="2548" width="8.33203125" style="2" customWidth="1"/>
    <col min="2549" max="2549" width="11.88671875" style="2" customWidth="1"/>
    <col min="2550" max="2550" width="9.88671875" style="2" customWidth="1"/>
    <col min="2551" max="2551" width="8.109375" style="2" customWidth="1"/>
    <col min="2552" max="2552" width="9.88671875" style="2" customWidth="1"/>
    <col min="2553" max="2553" width="14.33203125" style="2" customWidth="1"/>
    <col min="2554" max="2554" width="15.33203125" style="2" customWidth="1"/>
    <col min="2555" max="2558" width="11.33203125" style="2" customWidth="1"/>
    <col min="2559" max="2559" width="19.109375" style="2" customWidth="1"/>
    <col min="2560" max="2560" width="19" style="2" customWidth="1"/>
    <col min="2561" max="2583" width="0" style="2" hidden="1" customWidth="1"/>
    <col min="2584" max="2585" width="9.109375" style="2"/>
    <col min="2586" max="2586" width="10.44140625" style="2" bestFit="1" customWidth="1"/>
    <col min="2587" max="2792" width="9.109375" style="2"/>
    <col min="2793" max="2793" width="4.44140625" style="2" bestFit="1" customWidth="1"/>
    <col min="2794" max="2794" width="22.109375" style="2" customWidth="1"/>
    <col min="2795" max="2795" width="22" style="2" customWidth="1"/>
    <col min="2796" max="2797" width="0" style="2" hidden="1" customWidth="1"/>
    <col min="2798" max="2798" width="17" style="2" customWidth="1"/>
    <col min="2799" max="2799" width="9.109375" style="2"/>
    <col min="2800" max="2800" width="10.5546875" style="2" customWidth="1"/>
    <col min="2801" max="2801" width="15.33203125" style="2" customWidth="1"/>
    <col min="2802" max="2802" width="9.33203125" style="2" customWidth="1"/>
    <col min="2803" max="2803" width="9" style="2" customWidth="1"/>
    <col min="2804" max="2804" width="8.33203125" style="2" customWidth="1"/>
    <col min="2805" max="2805" width="11.88671875" style="2" customWidth="1"/>
    <col min="2806" max="2806" width="9.88671875" style="2" customWidth="1"/>
    <col min="2807" max="2807" width="8.109375" style="2" customWidth="1"/>
    <col min="2808" max="2808" width="9.88671875" style="2" customWidth="1"/>
    <col min="2809" max="2809" width="14.33203125" style="2" customWidth="1"/>
    <col min="2810" max="2810" width="15.33203125" style="2" customWidth="1"/>
    <col min="2811" max="2814" width="11.33203125" style="2" customWidth="1"/>
    <col min="2815" max="2815" width="19.109375" style="2" customWidth="1"/>
    <col min="2816" max="2816" width="19" style="2" customWidth="1"/>
    <col min="2817" max="2839" width="0" style="2" hidden="1" customWidth="1"/>
    <col min="2840" max="2841" width="9.109375" style="2"/>
    <col min="2842" max="2842" width="10.44140625" style="2" bestFit="1" customWidth="1"/>
    <col min="2843" max="3048" width="9.109375" style="2"/>
    <col min="3049" max="3049" width="4.44140625" style="2" bestFit="1" customWidth="1"/>
    <col min="3050" max="3050" width="22.109375" style="2" customWidth="1"/>
    <col min="3051" max="3051" width="22" style="2" customWidth="1"/>
    <col min="3052" max="3053" width="0" style="2" hidden="1" customWidth="1"/>
    <col min="3054" max="3054" width="17" style="2" customWidth="1"/>
    <col min="3055" max="3055" width="9.109375" style="2"/>
    <col min="3056" max="3056" width="10.5546875" style="2" customWidth="1"/>
    <col min="3057" max="3057" width="15.33203125" style="2" customWidth="1"/>
    <col min="3058" max="3058" width="9.33203125" style="2" customWidth="1"/>
    <col min="3059" max="3059" width="9" style="2" customWidth="1"/>
    <col min="3060" max="3060" width="8.33203125" style="2" customWidth="1"/>
    <col min="3061" max="3061" width="11.88671875" style="2" customWidth="1"/>
    <col min="3062" max="3062" width="9.88671875" style="2" customWidth="1"/>
    <col min="3063" max="3063" width="8.109375" style="2" customWidth="1"/>
    <col min="3064" max="3064" width="9.88671875" style="2" customWidth="1"/>
    <col min="3065" max="3065" width="14.33203125" style="2" customWidth="1"/>
    <col min="3066" max="3066" width="15.33203125" style="2" customWidth="1"/>
    <col min="3067" max="3070" width="11.33203125" style="2" customWidth="1"/>
    <col min="3071" max="3071" width="19.109375" style="2" customWidth="1"/>
    <col min="3072" max="3072" width="19" style="2" customWidth="1"/>
    <col min="3073" max="3095" width="0" style="2" hidden="1" customWidth="1"/>
    <col min="3096" max="3097" width="9.109375" style="2"/>
    <col min="3098" max="3098" width="10.44140625" style="2" bestFit="1" customWidth="1"/>
    <col min="3099" max="3304" width="9.109375" style="2"/>
    <col min="3305" max="3305" width="4.44140625" style="2" bestFit="1" customWidth="1"/>
    <col min="3306" max="3306" width="22.109375" style="2" customWidth="1"/>
    <col min="3307" max="3307" width="22" style="2" customWidth="1"/>
    <col min="3308" max="3309" width="0" style="2" hidden="1" customWidth="1"/>
    <col min="3310" max="3310" width="17" style="2" customWidth="1"/>
    <col min="3311" max="3311" width="9.109375" style="2"/>
    <col min="3312" max="3312" width="10.5546875" style="2" customWidth="1"/>
    <col min="3313" max="3313" width="15.33203125" style="2" customWidth="1"/>
    <col min="3314" max="3314" width="9.33203125" style="2" customWidth="1"/>
    <col min="3315" max="3315" width="9" style="2" customWidth="1"/>
    <col min="3316" max="3316" width="8.33203125" style="2" customWidth="1"/>
    <col min="3317" max="3317" width="11.88671875" style="2" customWidth="1"/>
    <col min="3318" max="3318" width="9.88671875" style="2" customWidth="1"/>
    <col min="3319" max="3319" width="8.109375" style="2" customWidth="1"/>
    <col min="3320" max="3320" width="9.88671875" style="2" customWidth="1"/>
    <col min="3321" max="3321" width="14.33203125" style="2" customWidth="1"/>
    <col min="3322" max="3322" width="15.33203125" style="2" customWidth="1"/>
    <col min="3323" max="3326" width="11.33203125" style="2" customWidth="1"/>
    <col min="3327" max="3327" width="19.109375" style="2" customWidth="1"/>
    <col min="3328" max="3328" width="19" style="2" customWidth="1"/>
    <col min="3329" max="3351" width="0" style="2" hidden="1" customWidth="1"/>
    <col min="3352" max="3353" width="9.109375" style="2"/>
    <col min="3354" max="3354" width="10.44140625" style="2" bestFit="1" customWidth="1"/>
    <col min="3355" max="3560" width="9.109375" style="2"/>
    <col min="3561" max="3561" width="4.44140625" style="2" bestFit="1" customWidth="1"/>
    <col min="3562" max="3562" width="22.109375" style="2" customWidth="1"/>
    <col min="3563" max="3563" width="22" style="2" customWidth="1"/>
    <col min="3564" max="3565" width="0" style="2" hidden="1" customWidth="1"/>
    <col min="3566" max="3566" width="17" style="2" customWidth="1"/>
    <col min="3567" max="3567" width="9.109375" style="2"/>
    <col min="3568" max="3568" width="10.5546875" style="2" customWidth="1"/>
    <col min="3569" max="3569" width="15.33203125" style="2" customWidth="1"/>
    <col min="3570" max="3570" width="9.33203125" style="2" customWidth="1"/>
    <col min="3571" max="3571" width="9" style="2" customWidth="1"/>
    <col min="3572" max="3572" width="8.33203125" style="2" customWidth="1"/>
    <col min="3573" max="3573" width="11.88671875" style="2" customWidth="1"/>
    <col min="3574" max="3574" width="9.88671875" style="2" customWidth="1"/>
    <col min="3575" max="3575" width="8.109375" style="2" customWidth="1"/>
    <col min="3576" max="3576" width="9.88671875" style="2" customWidth="1"/>
    <col min="3577" max="3577" width="14.33203125" style="2" customWidth="1"/>
    <col min="3578" max="3578" width="15.33203125" style="2" customWidth="1"/>
    <col min="3579" max="3582" width="11.33203125" style="2" customWidth="1"/>
    <col min="3583" max="3583" width="19.109375" style="2" customWidth="1"/>
    <col min="3584" max="3584" width="19" style="2" customWidth="1"/>
    <col min="3585" max="3607" width="0" style="2" hidden="1" customWidth="1"/>
    <col min="3608" max="3609" width="9.109375" style="2"/>
    <col min="3610" max="3610" width="10.44140625" style="2" bestFit="1" customWidth="1"/>
    <col min="3611" max="3816" width="9.109375" style="2"/>
    <col min="3817" max="3817" width="4.44140625" style="2" bestFit="1" customWidth="1"/>
    <col min="3818" max="3818" width="22.109375" style="2" customWidth="1"/>
    <col min="3819" max="3819" width="22" style="2" customWidth="1"/>
    <col min="3820" max="3821" width="0" style="2" hidden="1" customWidth="1"/>
    <col min="3822" max="3822" width="17" style="2" customWidth="1"/>
    <col min="3823" max="3823" width="9.109375" style="2"/>
    <col min="3824" max="3824" width="10.5546875" style="2" customWidth="1"/>
    <col min="3825" max="3825" width="15.33203125" style="2" customWidth="1"/>
    <col min="3826" max="3826" width="9.33203125" style="2" customWidth="1"/>
    <col min="3827" max="3827" width="9" style="2" customWidth="1"/>
    <col min="3828" max="3828" width="8.33203125" style="2" customWidth="1"/>
    <col min="3829" max="3829" width="11.88671875" style="2" customWidth="1"/>
    <col min="3830" max="3830" width="9.88671875" style="2" customWidth="1"/>
    <col min="3831" max="3831" width="8.109375" style="2" customWidth="1"/>
    <col min="3832" max="3832" width="9.88671875" style="2" customWidth="1"/>
    <col min="3833" max="3833" width="14.33203125" style="2" customWidth="1"/>
    <col min="3834" max="3834" width="15.33203125" style="2" customWidth="1"/>
    <col min="3835" max="3838" width="11.33203125" style="2" customWidth="1"/>
    <col min="3839" max="3839" width="19.109375" style="2" customWidth="1"/>
    <col min="3840" max="3840" width="19" style="2" customWidth="1"/>
    <col min="3841" max="3863" width="0" style="2" hidden="1" customWidth="1"/>
    <col min="3864" max="3865" width="9.109375" style="2"/>
    <col min="3866" max="3866" width="10.44140625" style="2" bestFit="1" customWidth="1"/>
    <col min="3867" max="4072" width="9.109375" style="2"/>
    <col min="4073" max="4073" width="4.44140625" style="2" bestFit="1" customWidth="1"/>
    <col min="4074" max="4074" width="22.109375" style="2" customWidth="1"/>
    <col min="4075" max="4075" width="22" style="2" customWidth="1"/>
    <col min="4076" max="4077" width="0" style="2" hidden="1" customWidth="1"/>
    <col min="4078" max="4078" width="17" style="2" customWidth="1"/>
    <col min="4079" max="4079" width="9.109375" style="2"/>
    <col min="4080" max="4080" width="10.5546875" style="2" customWidth="1"/>
    <col min="4081" max="4081" width="15.33203125" style="2" customWidth="1"/>
    <col min="4082" max="4082" width="9.33203125" style="2" customWidth="1"/>
    <col min="4083" max="4083" width="9" style="2" customWidth="1"/>
    <col min="4084" max="4084" width="8.33203125" style="2" customWidth="1"/>
    <col min="4085" max="4085" width="11.88671875" style="2" customWidth="1"/>
    <col min="4086" max="4086" width="9.88671875" style="2" customWidth="1"/>
    <col min="4087" max="4087" width="8.109375" style="2" customWidth="1"/>
    <col min="4088" max="4088" width="9.88671875" style="2" customWidth="1"/>
    <col min="4089" max="4089" width="14.33203125" style="2" customWidth="1"/>
    <col min="4090" max="4090" width="15.33203125" style="2" customWidth="1"/>
    <col min="4091" max="4094" width="11.33203125" style="2" customWidth="1"/>
    <col min="4095" max="4095" width="19.109375" style="2" customWidth="1"/>
    <col min="4096" max="4096" width="19" style="2" customWidth="1"/>
    <col min="4097" max="4119" width="0" style="2" hidden="1" customWidth="1"/>
    <col min="4120" max="4121" width="9.109375" style="2"/>
    <col min="4122" max="4122" width="10.44140625" style="2" bestFit="1" customWidth="1"/>
    <col min="4123" max="4328" width="9.109375" style="2"/>
    <col min="4329" max="4329" width="4.44140625" style="2" bestFit="1" customWidth="1"/>
    <col min="4330" max="4330" width="22.109375" style="2" customWidth="1"/>
    <col min="4331" max="4331" width="22" style="2" customWidth="1"/>
    <col min="4332" max="4333" width="0" style="2" hidden="1" customWidth="1"/>
    <col min="4334" max="4334" width="17" style="2" customWidth="1"/>
    <col min="4335" max="4335" width="9.109375" style="2"/>
    <col min="4336" max="4336" width="10.5546875" style="2" customWidth="1"/>
    <col min="4337" max="4337" width="15.33203125" style="2" customWidth="1"/>
    <col min="4338" max="4338" width="9.33203125" style="2" customWidth="1"/>
    <col min="4339" max="4339" width="9" style="2" customWidth="1"/>
    <col min="4340" max="4340" width="8.33203125" style="2" customWidth="1"/>
    <col min="4341" max="4341" width="11.88671875" style="2" customWidth="1"/>
    <col min="4342" max="4342" width="9.88671875" style="2" customWidth="1"/>
    <col min="4343" max="4343" width="8.109375" style="2" customWidth="1"/>
    <col min="4344" max="4344" width="9.88671875" style="2" customWidth="1"/>
    <col min="4345" max="4345" width="14.33203125" style="2" customWidth="1"/>
    <col min="4346" max="4346" width="15.33203125" style="2" customWidth="1"/>
    <col min="4347" max="4350" width="11.33203125" style="2" customWidth="1"/>
    <col min="4351" max="4351" width="19.109375" style="2" customWidth="1"/>
    <col min="4352" max="4352" width="19" style="2" customWidth="1"/>
    <col min="4353" max="4375" width="0" style="2" hidden="1" customWidth="1"/>
    <col min="4376" max="4377" width="9.109375" style="2"/>
    <col min="4378" max="4378" width="10.44140625" style="2" bestFit="1" customWidth="1"/>
    <col min="4379" max="4584" width="9.109375" style="2"/>
    <col min="4585" max="4585" width="4.44140625" style="2" bestFit="1" customWidth="1"/>
    <col min="4586" max="4586" width="22.109375" style="2" customWidth="1"/>
    <col min="4587" max="4587" width="22" style="2" customWidth="1"/>
    <col min="4588" max="4589" width="0" style="2" hidden="1" customWidth="1"/>
    <col min="4590" max="4590" width="17" style="2" customWidth="1"/>
    <col min="4591" max="4591" width="9.109375" style="2"/>
    <col min="4592" max="4592" width="10.5546875" style="2" customWidth="1"/>
    <col min="4593" max="4593" width="15.33203125" style="2" customWidth="1"/>
    <col min="4594" max="4594" width="9.33203125" style="2" customWidth="1"/>
    <col min="4595" max="4595" width="9" style="2" customWidth="1"/>
    <col min="4596" max="4596" width="8.33203125" style="2" customWidth="1"/>
    <col min="4597" max="4597" width="11.88671875" style="2" customWidth="1"/>
    <col min="4598" max="4598" width="9.88671875" style="2" customWidth="1"/>
    <col min="4599" max="4599" width="8.109375" style="2" customWidth="1"/>
    <col min="4600" max="4600" width="9.88671875" style="2" customWidth="1"/>
    <col min="4601" max="4601" width="14.33203125" style="2" customWidth="1"/>
    <col min="4602" max="4602" width="15.33203125" style="2" customWidth="1"/>
    <col min="4603" max="4606" width="11.33203125" style="2" customWidth="1"/>
    <col min="4607" max="4607" width="19.109375" style="2" customWidth="1"/>
    <col min="4608" max="4608" width="19" style="2" customWidth="1"/>
    <col min="4609" max="4631" width="0" style="2" hidden="1" customWidth="1"/>
    <col min="4632" max="4633" width="9.109375" style="2"/>
    <col min="4634" max="4634" width="10.44140625" style="2" bestFit="1" customWidth="1"/>
    <col min="4635" max="4840" width="9.109375" style="2"/>
    <col min="4841" max="4841" width="4.44140625" style="2" bestFit="1" customWidth="1"/>
    <col min="4842" max="4842" width="22.109375" style="2" customWidth="1"/>
    <col min="4843" max="4843" width="22" style="2" customWidth="1"/>
    <col min="4844" max="4845" width="0" style="2" hidden="1" customWidth="1"/>
    <col min="4846" max="4846" width="17" style="2" customWidth="1"/>
    <col min="4847" max="4847" width="9.109375" style="2"/>
    <col min="4848" max="4848" width="10.5546875" style="2" customWidth="1"/>
    <col min="4849" max="4849" width="15.33203125" style="2" customWidth="1"/>
    <col min="4850" max="4850" width="9.33203125" style="2" customWidth="1"/>
    <col min="4851" max="4851" width="9" style="2" customWidth="1"/>
    <col min="4852" max="4852" width="8.33203125" style="2" customWidth="1"/>
    <col min="4853" max="4853" width="11.88671875" style="2" customWidth="1"/>
    <col min="4854" max="4854" width="9.88671875" style="2" customWidth="1"/>
    <col min="4855" max="4855" width="8.109375" style="2" customWidth="1"/>
    <col min="4856" max="4856" width="9.88671875" style="2" customWidth="1"/>
    <col min="4857" max="4857" width="14.33203125" style="2" customWidth="1"/>
    <col min="4858" max="4858" width="15.33203125" style="2" customWidth="1"/>
    <col min="4859" max="4862" width="11.33203125" style="2" customWidth="1"/>
    <col min="4863" max="4863" width="19.109375" style="2" customWidth="1"/>
    <col min="4864" max="4864" width="19" style="2" customWidth="1"/>
    <col min="4865" max="4887" width="0" style="2" hidden="1" customWidth="1"/>
    <col min="4888" max="4889" width="9.109375" style="2"/>
    <col min="4890" max="4890" width="10.44140625" style="2" bestFit="1" customWidth="1"/>
    <col min="4891" max="5096" width="9.109375" style="2"/>
    <col min="5097" max="5097" width="4.44140625" style="2" bestFit="1" customWidth="1"/>
    <col min="5098" max="5098" width="22.109375" style="2" customWidth="1"/>
    <col min="5099" max="5099" width="22" style="2" customWidth="1"/>
    <col min="5100" max="5101" width="0" style="2" hidden="1" customWidth="1"/>
    <col min="5102" max="5102" width="17" style="2" customWidth="1"/>
    <col min="5103" max="5103" width="9.109375" style="2"/>
    <col min="5104" max="5104" width="10.5546875" style="2" customWidth="1"/>
    <col min="5105" max="5105" width="15.33203125" style="2" customWidth="1"/>
    <col min="5106" max="5106" width="9.33203125" style="2" customWidth="1"/>
    <col min="5107" max="5107" width="9" style="2" customWidth="1"/>
    <col min="5108" max="5108" width="8.33203125" style="2" customWidth="1"/>
    <col min="5109" max="5109" width="11.88671875" style="2" customWidth="1"/>
    <col min="5110" max="5110" width="9.88671875" style="2" customWidth="1"/>
    <col min="5111" max="5111" width="8.109375" style="2" customWidth="1"/>
    <col min="5112" max="5112" width="9.88671875" style="2" customWidth="1"/>
    <col min="5113" max="5113" width="14.33203125" style="2" customWidth="1"/>
    <col min="5114" max="5114" width="15.33203125" style="2" customWidth="1"/>
    <col min="5115" max="5118" width="11.33203125" style="2" customWidth="1"/>
    <col min="5119" max="5119" width="19.109375" style="2" customWidth="1"/>
    <col min="5120" max="5120" width="19" style="2" customWidth="1"/>
    <col min="5121" max="5143" width="0" style="2" hidden="1" customWidth="1"/>
    <col min="5144" max="5145" width="9.109375" style="2"/>
    <col min="5146" max="5146" width="10.44140625" style="2" bestFit="1" customWidth="1"/>
    <col min="5147" max="5352" width="9.109375" style="2"/>
    <col min="5353" max="5353" width="4.44140625" style="2" bestFit="1" customWidth="1"/>
    <col min="5354" max="5354" width="22.109375" style="2" customWidth="1"/>
    <col min="5355" max="5355" width="22" style="2" customWidth="1"/>
    <col min="5356" max="5357" width="0" style="2" hidden="1" customWidth="1"/>
    <col min="5358" max="5358" width="17" style="2" customWidth="1"/>
    <col min="5359" max="5359" width="9.109375" style="2"/>
    <col min="5360" max="5360" width="10.5546875" style="2" customWidth="1"/>
    <col min="5361" max="5361" width="15.33203125" style="2" customWidth="1"/>
    <col min="5362" max="5362" width="9.33203125" style="2" customWidth="1"/>
    <col min="5363" max="5363" width="9" style="2" customWidth="1"/>
    <col min="5364" max="5364" width="8.33203125" style="2" customWidth="1"/>
    <col min="5365" max="5365" width="11.88671875" style="2" customWidth="1"/>
    <col min="5366" max="5366" width="9.88671875" style="2" customWidth="1"/>
    <col min="5367" max="5367" width="8.109375" style="2" customWidth="1"/>
    <col min="5368" max="5368" width="9.88671875" style="2" customWidth="1"/>
    <col min="5369" max="5369" width="14.33203125" style="2" customWidth="1"/>
    <col min="5370" max="5370" width="15.33203125" style="2" customWidth="1"/>
    <col min="5371" max="5374" width="11.33203125" style="2" customWidth="1"/>
    <col min="5375" max="5375" width="19.109375" style="2" customWidth="1"/>
    <col min="5376" max="5376" width="19" style="2" customWidth="1"/>
    <col min="5377" max="5399" width="0" style="2" hidden="1" customWidth="1"/>
    <col min="5400" max="5401" width="9.109375" style="2"/>
    <col min="5402" max="5402" width="10.44140625" style="2" bestFit="1" customWidth="1"/>
    <col min="5403" max="5608" width="9.109375" style="2"/>
    <col min="5609" max="5609" width="4.44140625" style="2" bestFit="1" customWidth="1"/>
    <col min="5610" max="5610" width="22.109375" style="2" customWidth="1"/>
    <col min="5611" max="5611" width="22" style="2" customWidth="1"/>
    <col min="5612" max="5613" width="0" style="2" hidden="1" customWidth="1"/>
    <col min="5614" max="5614" width="17" style="2" customWidth="1"/>
    <col min="5615" max="5615" width="9.109375" style="2"/>
    <col min="5616" max="5616" width="10.5546875" style="2" customWidth="1"/>
    <col min="5617" max="5617" width="15.33203125" style="2" customWidth="1"/>
    <col min="5618" max="5618" width="9.33203125" style="2" customWidth="1"/>
    <col min="5619" max="5619" width="9" style="2" customWidth="1"/>
    <col min="5620" max="5620" width="8.33203125" style="2" customWidth="1"/>
    <col min="5621" max="5621" width="11.88671875" style="2" customWidth="1"/>
    <col min="5622" max="5622" width="9.88671875" style="2" customWidth="1"/>
    <col min="5623" max="5623" width="8.109375" style="2" customWidth="1"/>
    <col min="5624" max="5624" width="9.88671875" style="2" customWidth="1"/>
    <col min="5625" max="5625" width="14.33203125" style="2" customWidth="1"/>
    <col min="5626" max="5626" width="15.33203125" style="2" customWidth="1"/>
    <col min="5627" max="5630" width="11.33203125" style="2" customWidth="1"/>
    <col min="5631" max="5631" width="19.109375" style="2" customWidth="1"/>
    <col min="5632" max="5632" width="19" style="2" customWidth="1"/>
    <col min="5633" max="5655" width="0" style="2" hidden="1" customWidth="1"/>
    <col min="5656" max="5657" width="9.109375" style="2"/>
    <col min="5658" max="5658" width="10.44140625" style="2" bestFit="1" customWidth="1"/>
    <col min="5659" max="5864" width="9.109375" style="2"/>
    <col min="5865" max="5865" width="4.44140625" style="2" bestFit="1" customWidth="1"/>
    <col min="5866" max="5866" width="22.109375" style="2" customWidth="1"/>
    <col min="5867" max="5867" width="22" style="2" customWidth="1"/>
    <col min="5868" max="5869" width="0" style="2" hidden="1" customWidth="1"/>
    <col min="5870" max="5870" width="17" style="2" customWidth="1"/>
    <col min="5871" max="5871" width="9.109375" style="2"/>
    <col min="5872" max="5872" width="10.5546875" style="2" customWidth="1"/>
    <col min="5873" max="5873" width="15.33203125" style="2" customWidth="1"/>
    <col min="5874" max="5874" width="9.33203125" style="2" customWidth="1"/>
    <col min="5875" max="5875" width="9" style="2" customWidth="1"/>
    <col min="5876" max="5876" width="8.33203125" style="2" customWidth="1"/>
    <col min="5877" max="5877" width="11.88671875" style="2" customWidth="1"/>
    <col min="5878" max="5878" width="9.88671875" style="2" customWidth="1"/>
    <col min="5879" max="5879" width="8.109375" style="2" customWidth="1"/>
    <col min="5880" max="5880" width="9.88671875" style="2" customWidth="1"/>
    <col min="5881" max="5881" width="14.33203125" style="2" customWidth="1"/>
    <col min="5882" max="5882" width="15.33203125" style="2" customWidth="1"/>
    <col min="5883" max="5886" width="11.33203125" style="2" customWidth="1"/>
    <col min="5887" max="5887" width="19.109375" style="2" customWidth="1"/>
    <col min="5888" max="5888" width="19" style="2" customWidth="1"/>
    <col min="5889" max="5911" width="0" style="2" hidden="1" customWidth="1"/>
    <col min="5912" max="5913" width="9.109375" style="2"/>
    <col min="5914" max="5914" width="10.44140625" style="2" bestFit="1" customWidth="1"/>
    <col min="5915" max="6120" width="9.109375" style="2"/>
    <col min="6121" max="6121" width="4.44140625" style="2" bestFit="1" customWidth="1"/>
    <col min="6122" max="6122" width="22.109375" style="2" customWidth="1"/>
    <col min="6123" max="6123" width="22" style="2" customWidth="1"/>
    <col min="6124" max="6125" width="0" style="2" hidden="1" customWidth="1"/>
    <col min="6126" max="6126" width="17" style="2" customWidth="1"/>
    <col min="6127" max="6127" width="9.109375" style="2"/>
    <col min="6128" max="6128" width="10.5546875" style="2" customWidth="1"/>
    <col min="6129" max="6129" width="15.33203125" style="2" customWidth="1"/>
    <col min="6130" max="6130" width="9.33203125" style="2" customWidth="1"/>
    <col min="6131" max="6131" width="9" style="2" customWidth="1"/>
    <col min="6132" max="6132" width="8.33203125" style="2" customWidth="1"/>
    <col min="6133" max="6133" width="11.88671875" style="2" customWidth="1"/>
    <col min="6134" max="6134" width="9.88671875" style="2" customWidth="1"/>
    <col min="6135" max="6135" width="8.109375" style="2" customWidth="1"/>
    <col min="6136" max="6136" width="9.88671875" style="2" customWidth="1"/>
    <col min="6137" max="6137" width="14.33203125" style="2" customWidth="1"/>
    <col min="6138" max="6138" width="15.33203125" style="2" customWidth="1"/>
    <col min="6139" max="6142" width="11.33203125" style="2" customWidth="1"/>
    <col min="6143" max="6143" width="19.109375" style="2" customWidth="1"/>
    <col min="6144" max="6144" width="19" style="2" customWidth="1"/>
    <col min="6145" max="6167" width="0" style="2" hidden="1" customWidth="1"/>
    <col min="6168" max="6169" width="9.109375" style="2"/>
    <col min="6170" max="6170" width="10.44140625" style="2" bestFit="1" customWidth="1"/>
    <col min="6171" max="6376" width="9.109375" style="2"/>
    <col min="6377" max="6377" width="4.44140625" style="2" bestFit="1" customWidth="1"/>
    <col min="6378" max="6378" width="22.109375" style="2" customWidth="1"/>
    <col min="6379" max="6379" width="22" style="2" customWidth="1"/>
    <col min="6380" max="6381" width="0" style="2" hidden="1" customWidth="1"/>
    <col min="6382" max="6382" width="17" style="2" customWidth="1"/>
    <col min="6383" max="6383" width="9.109375" style="2"/>
    <col min="6384" max="6384" width="10.5546875" style="2" customWidth="1"/>
    <col min="6385" max="6385" width="15.33203125" style="2" customWidth="1"/>
    <col min="6386" max="6386" width="9.33203125" style="2" customWidth="1"/>
    <col min="6387" max="6387" width="9" style="2" customWidth="1"/>
    <col min="6388" max="6388" width="8.33203125" style="2" customWidth="1"/>
    <col min="6389" max="6389" width="11.88671875" style="2" customWidth="1"/>
    <col min="6390" max="6390" width="9.88671875" style="2" customWidth="1"/>
    <col min="6391" max="6391" width="8.109375" style="2" customWidth="1"/>
    <col min="6392" max="6392" width="9.88671875" style="2" customWidth="1"/>
    <col min="6393" max="6393" width="14.33203125" style="2" customWidth="1"/>
    <col min="6394" max="6394" width="15.33203125" style="2" customWidth="1"/>
    <col min="6395" max="6398" width="11.33203125" style="2" customWidth="1"/>
    <col min="6399" max="6399" width="19.109375" style="2" customWidth="1"/>
    <col min="6400" max="6400" width="19" style="2" customWidth="1"/>
    <col min="6401" max="6423" width="0" style="2" hidden="1" customWidth="1"/>
    <col min="6424" max="6425" width="9.109375" style="2"/>
    <col min="6426" max="6426" width="10.44140625" style="2" bestFit="1" customWidth="1"/>
    <col min="6427" max="6632" width="9.109375" style="2"/>
    <col min="6633" max="6633" width="4.44140625" style="2" bestFit="1" customWidth="1"/>
    <col min="6634" max="6634" width="22.109375" style="2" customWidth="1"/>
    <col min="6635" max="6635" width="22" style="2" customWidth="1"/>
    <col min="6636" max="6637" width="0" style="2" hidden="1" customWidth="1"/>
    <col min="6638" max="6638" width="17" style="2" customWidth="1"/>
    <col min="6639" max="6639" width="9.109375" style="2"/>
    <col min="6640" max="6640" width="10.5546875" style="2" customWidth="1"/>
    <col min="6641" max="6641" width="15.33203125" style="2" customWidth="1"/>
    <col min="6642" max="6642" width="9.33203125" style="2" customWidth="1"/>
    <col min="6643" max="6643" width="9" style="2" customWidth="1"/>
    <col min="6644" max="6644" width="8.33203125" style="2" customWidth="1"/>
    <col min="6645" max="6645" width="11.88671875" style="2" customWidth="1"/>
    <col min="6646" max="6646" width="9.88671875" style="2" customWidth="1"/>
    <col min="6647" max="6647" width="8.109375" style="2" customWidth="1"/>
    <col min="6648" max="6648" width="9.88671875" style="2" customWidth="1"/>
    <col min="6649" max="6649" width="14.33203125" style="2" customWidth="1"/>
    <col min="6650" max="6650" width="15.33203125" style="2" customWidth="1"/>
    <col min="6651" max="6654" width="11.33203125" style="2" customWidth="1"/>
    <col min="6655" max="6655" width="19.109375" style="2" customWidth="1"/>
    <col min="6656" max="6656" width="19" style="2" customWidth="1"/>
    <col min="6657" max="6679" width="0" style="2" hidden="1" customWidth="1"/>
    <col min="6680" max="6681" width="9.109375" style="2"/>
    <col min="6682" max="6682" width="10.44140625" style="2" bestFit="1" customWidth="1"/>
    <col min="6683" max="6888" width="9.109375" style="2"/>
    <col min="6889" max="6889" width="4.44140625" style="2" bestFit="1" customWidth="1"/>
    <col min="6890" max="6890" width="22.109375" style="2" customWidth="1"/>
    <col min="6891" max="6891" width="22" style="2" customWidth="1"/>
    <col min="6892" max="6893" width="0" style="2" hidden="1" customWidth="1"/>
    <col min="6894" max="6894" width="17" style="2" customWidth="1"/>
    <col min="6895" max="6895" width="9.109375" style="2"/>
    <col min="6896" max="6896" width="10.5546875" style="2" customWidth="1"/>
    <col min="6897" max="6897" width="15.33203125" style="2" customWidth="1"/>
    <col min="6898" max="6898" width="9.33203125" style="2" customWidth="1"/>
    <col min="6899" max="6899" width="9" style="2" customWidth="1"/>
    <col min="6900" max="6900" width="8.33203125" style="2" customWidth="1"/>
    <col min="6901" max="6901" width="11.88671875" style="2" customWidth="1"/>
    <col min="6902" max="6902" width="9.88671875" style="2" customWidth="1"/>
    <col min="6903" max="6903" width="8.109375" style="2" customWidth="1"/>
    <col min="6904" max="6904" width="9.88671875" style="2" customWidth="1"/>
    <col min="6905" max="6905" width="14.33203125" style="2" customWidth="1"/>
    <col min="6906" max="6906" width="15.33203125" style="2" customWidth="1"/>
    <col min="6907" max="6910" width="11.33203125" style="2" customWidth="1"/>
    <col min="6911" max="6911" width="19.109375" style="2" customWidth="1"/>
    <col min="6912" max="6912" width="19" style="2" customWidth="1"/>
    <col min="6913" max="6935" width="0" style="2" hidden="1" customWidth="1"/>
    <col min="6936" max="6937" width="9.109375" style="2"/>
    <col min="6938" max="6938" width="10.44140625" style="2" bestFit="1" customWidth="1"/>
    <col min="6939" max="7144" width="9.109375" style="2"/>
    <col min="7145" max="7145" width="4.44140625" style="2" bestFit="1" customWidth="1"/>
    <col min="7146" max="7146" width="22.109375" style="2" customWidth="1"/>
    <col min="7147" max="7147" width="22" style="2" customWidth="1"/>
    <col min="7148" max="7149" width="0" style="2" hidden="1" customWidth="1"/>
    <col min="7150" max="7150" width="17" style="2" customWidth="1"/>
    <col min="7151" max="7151" width="9.109375" style="2"/>
    <col min="7152" max="7152" width="10.5546875" style="2" customWidth="1"/>
    <col min="7153" max="7153" width="15.33203125" style="2" customWidth="1"/>
    <col min="7154" max="7154" width="9.33203125" style="2" customWidth="1"/>
    <col min="7155" max="7155" width="9" style="2" customWidth="1"/>
    <col min="7156" max="7156" width="8.33203125" style="2" customWidth="1"/>
    <col min="7157" max="7157" width="11.88671875" style="2" customWidth="1"/>
    <col min="7158" max="7158" width="9.88671875" style="2" customWidth="1"/>
    <col min="7159" max="7159" width="8.109375" style="2" customWidth="1"/>
    <col min="7160" max="7160" width="9.88671875" style="2" customWidth="1"/>
    <col min="7161" max="7161" width="14.33203125" style="2" customWidth="1"/>
    <col min="7162" max="7162" width="15.33203125" style="2" customWidth="1"/>
    <col min="7163" max="7166" width="11.33203125" style="2" customWidth="1"/>
    <col min="7167" max="7167" width="19.109375" style="2" customWidth="1"/>
    <col min="7168" max="7168" width="19" style="2" customWidth="1"/>
    <col min="7169" max="7191" width="0" style="2" hidden="1" customWidth="1"/>
    <col min="7192" max="7193" width="9.109375" style="2"/>
    <col min="7194" max="7194" width="10.44140625" style="2" bestFit="1" customWidth="1"/>
    <col min="7195" max="7400" width="9.109375" style="2"/>
    <col min="7401" max="7401" width="4.44140625" style="2" bestFit="1" customWidth="1"/>
    <col min="7402" max="7402" width="22.109375" style="2" customWidth="1"/>
    <col min="7403" max="7403" width="22" style="2" customWidth="1"/>
    <col min="7404" max="7405" width="0" style="2" hidden="1" customWidth="1"/>
    <col min="7406" max="7406" width="17" style="2" customWidth="1"/>
    <col min="7407" max="7407" width="9.109375" style="2"/>
    <col min="7408" max="7408" width="10.5546875" style="2" customWidth="1"/>
    <col min="7409" max="7409" width="15.33203125" style="2" customWidth="1"/>
    <col min="7410" max="7410" width="9.33203125" style="2" customWidth="1"/>
    <col min="7411" max="7411" width="9" style="2" customWidth="1"/>
    <col min="7412" max="7412" width="8.33203125" style="2" customWidth="1"/>
    <col min="7413" max="7413" width="11.88671875" style="2" customWidth="1"/>
    <col min="7414" max="7414" width="9.88671875" style="2" customWidth="1"/>
    <col min="7415" max="7415" width="8.109375" style="2" customWidth="1"/>
    <col min="7416" max="7416" width="9.88671875" style="2" customWidth="1"/>
    <col min="7417" max="7417" width="14.33203125" style="2" customWidth="1"/>
    <col min="7418" max="7418" width="15.33203125" style="2" customWidth="1"/>
    <col min="7419" max="7422" width="11.33203125" style="2" customWidth="1"/>
    <col min="7423" max="7423" width="19.109375" style="2" customWidth="1"/>
    <col min="7424" max="7424" width="19" style="2" customWidth="1"/>
    <col min="7425" max="7447" width="0" style="2" hidden="1" customWidth="1"/>
    <col min="7448" max="7449" width="9.109375" style="2"/>
    <col min="7450" max="7450" width="10.44140625" style="2" bestFit="1" customWidth="1"/>
    <col min="7451" max="7656" width="9.109375" style="2"/>
    <col min="7657" max="7657" width="4.44140625" style="2" bestFit="1" customWidth="1"/>
    <col min="7658" max="7658" width="22.109375" style="2" customWidth="1"/>
    <col min="7659" max="7659" width="22" style="2" customWidth="1"/>
    <col min="7660" max="7661" width="0" style="2" hidden="1" customWidth="1"/>
    <col min="7662" max="7662" width="17" style="2" customWidth="1"/>
    <col min="7663" max="7663" width="9.109375" style="2"/>
    <col min="7664" max="7664" width="10.5546875" style="2" customWidth="1"/>
    <col min="7665" max="7665" width="15.33203125" style="2" customWidth="1"/>
    <col min="7666" max="7666" width="9.33203125" style="2" customWidth="1"/>
    <col min="7667" max="7667" width="9" style="2" customWidth="1"/>
    <col min="7668" max="7668" width="8.33203125" style="2" customWidth="1"/>
    <col min="7669" max="7669" width="11.88671875" style="2" customWidth="1"/>
    <col min="7670" max="7670" width="9.88671875" style="2" customWidth="1"/>
    <col min="7671" max="7671" width="8.109375" style="2" customWidth="1"/>
    <col min="7672" max="7672" width="9.88671875" style="2" customWidth="1"/>
    <col min="7673" max="7673" width="14.33203125" style="2" customWidth="1"/>
    <col min="7674" max="7674" width="15.33203125" style="2" customWidth="1"/>
    <col min="7675" max="7678" width="11.33203125" style="2" customWidth="1"/>
    <col min="7679" max="7679" width="19.109375" style="2" customWidth="1"/>
    <col min="7680" max="7680" width="19" style="2" customWidth="1"/>
    <col min="7681" max="7703" width="0" style="2" hidden="1" customWidth="1"/>
    <col min="7704" max="7705" width="9.109375" style="2"/>
    <col min="7706" max="7706" width="10.44140625" style="2" bestFit="1" customWidth="1"/>
    <col min="7707" max="7912" width="9.109375" style="2"/>
    <col min="7913" max="7913" width="4.44140625" style="2" bestFit="1" customWidth="1"/>
    <col min="7914" max="7914" width="22.109375" style="2" customWidth="1"/>
    <col min="7915" max="7915" width="22" style="2" customWidth="1"/>
    <col min="7916" max="7917" width="0" style="2" hidden="1" customWidth="1"/>
    <col min="7918" max="7918" width="17" style="2" customWidth="1"/>
    <col min="7919" max="7919" width="9.109375" style="2"/>
    <col min="7920" max="7920" width="10.5546875" style="2" customWidth="1"/>
    <col min="7921" max="7921" width="15.33203125" style="2" customWidth="1"/>
    <col min="7922" max="7922" width="9.33203125" style="2" customWidth="1"/>
    <col min="7923" max="7923" width="9" style="2" customWidth="1"/>
    <col min="7924" max="7924" width="8.33203125" style="2" customWidth="1"/>
    <col min="7925" max="7925" width="11.88671875" style="2" customWidth="1"/>
    <col min="7926" max="7926" width="9.88671875" style="2" customWidth="1"/>
    <col min="7927" max="7927" width="8.109375" style="2" customWidth="1"/>
    <col min="7928" max="7928" width="9.88671875" style="2" customWidth="1"/>
    <col min="7929" max="7929" width="14.33203125" style="2" customWidth="1"/>
    <col min="7930" max="7930" width="15.33203125" style="2" customWidth="1"/>
    <col min="7931" max="7934" width="11.33203125" style="2" customWidth="1"/>
    <col min="7935" max="7935" width="19.109375" style="2" customWidth="1"/>
    <col min="7936" max="7936" width="19" style="2" customWidth="1"/>
    <col min="7937" max="7959" width="0" style="2" hidden="1" customWidth="1"/>
    <col min="7960" max="7961" width="9.109375" style="2"/>
    <col min="7962" max="7962" width="10.44140625" style="2" bestFit="1" customWidth="1"/>
    <col min="7963" max="8168" width="9.109375" style="2"/>
    <col min="8169" max="8169" width="4.44140625" style="2" bestFit="1" customWidth="1"/>
    <col min="8170" max="8170" width="22.109375" style="2" customWidth="1"/>
    <col min="8171" max="8171" width="22" style="2" customWidth="1"/>
    <col min="8172" max="8173" width="0" style="2" hidden="1" customWidth="1"/>
    <col min="8174" max="8174" width="17" style="2" customWidth="1"/>
    <col min="8175" max="8175" width="9.109375" style="2"/>
    <col min="8176" max="8176" width="10.5546875" style="2" customWidth="1"/>
    <col min="8177" max="8177" width="15.33203125" style="2" customWidth="1"/>
    <col min="8178" max="8178" width="9.33203125" style="2" customWidth="1"/>
    <col min="8179" max="8179" width="9" style="2" customWidth="1"/>
    <col min="8180" max="8180" width="8.33203125" style="2" customWidth="1"/>
    <col min="8181" max="8181" width="11.88671875" style="2" customWidth="1"/>
    <col min="8182" max="8182" width="9.88671875" style="2" customWidth="1"/>
    <col min="8183" max="8183" width="8.109375" style="2" customWidth="1"/>
    <col min="8184" max="8184" width="9.88671875" style="2" customWidth="1"/>
    <col min="8185" max="8185" width="14.33203125" style="2" customWidth="1"/>
    <col min="8186" max="8186" width="15.33203125" style="2" customWidth="1"/>
    <col min="8187" max="8190" width="11.33203125" style="2" customWidth="1"/>
    <col min="8191" max="8191" width="19.109375" style="2" customWidth="1"/>
    <col min="8192" max="8192" width="19" style="2" customWidth="1"/>
    <col min="8193" max="8215" width="0" style="2" hidden="1" customWidth="1"/>
    <col min="8216" max="8217" width="9.109375" style="2"/>
    <col min="8218" max="8218" width="10.44140625" style="2" bestFit="1" customWidth="1"/>
    <col min="8219" max="8424" width="9.109375" style="2"/>
    <col min="8425" max="8425" width="4.44140625" style="2" bestFit="1" customWidth="1"/>
    <col min="8426" max="8426" width="22.109375" style="2" customWidth="1"/>
    <col min="8427" max="8427" width="22" style="2" customWidth="1"/>
    <col min="8428" max="8429" width="0" style="2" hidden="1" customWidth="1"/>
    <col min="8430" max="8430" width="17" style="2" customWidth="1"/>
    <col min="8431" max="8431" width="9.109375" style="2"/>
    <col min="8432" max="8432" width="10.5546875" style="2" customWidth="1"/>
    <col min="8433" max="8433" width="15.33203125" style="2" customWidth="1"/>
    <col min="8434" max="8434" width="9.33203125" style="2" customWidth="1"/>
    <col min="8435" max="8435" width="9" style="2" customWidth="1"/>
    <col min="8436" max="8436" width="8.33203125" style="2" customWidth="1"/>
    <col min="8437" max="8437" width="11.88671875" style="2" customWidth="1"/>
    <col min="8438" max="8438" width="9.88671875" style="2" customWidth="1"/>
    <col min="8439" max="8439" width="8.109375" style="2" customWidth="1"/>
    <col min="8440" max="8440" width="9.88671875" style="2" customWidth="1"/>
    <col min="8441" max="8441" width="14.33203125" style="2" customWidth="1"/>
    <col min="8442" max="8442" width="15.33203125" style="2" customWidth="1"/>
    <col min="8443" max="8446" width="11.33203125" style="2" customWidth="1"/>
    <col min="8447" max="8447" width="19.109375" style="2" customWidth="1"/>
    <col min="8448" max="8448" width="19" style="2" customWidth="1"/>
    <col min="8449" max="8471" width="0" style="2" hidden="1" customWidth="1"/>
    <col min="8472" max="8473" width="9.109375" style="2"/>
    <col min="8474" max="8474" width="10.44140625" style="2" bestFit="1" customWidth="1"/>
    <col min="8475" max="8680" width="9.109375" style="2"/>
    <col min="8681" max="8681" width="4.44140625" style="2" bestFit="1" customWidth="1"/>
    <col min="8682" max="8682" width="22.109375" style="2" customWidth="1"/>
    <col min="8683" max="8683" width="22" style="2" customWidth="1"/>
    <col min="8684" max="8685" width="0" style="2" hidden="1" customWidth="1"/>
    <col min="8686" max="8686" width="17" style="2" customWidth="1"/>
    <col min="8687" max="8687" width="9.109375" style="2"/>
    <col min="8688" max="8688" width="10.5546875" style="2" customWidth="1"/>
    <col min="8689" max="8689" width="15.33203125" style="2" customWidth="1"/>
    <col min="8690" max="8690" width="9.33203125" style="2" customWidth="1"/>
    <col min="8691" max="8691" width="9" style="2" customWidth="1"/>
    <col min="8692" max="8692" width="8.33203125" style="2" customWidth="1"/>
    <col min="8693" max="8693" width="11.88671875" style="2" customWidth="1"/>
    <col min="8694" max="8694" width="9.88671875" style="2" customWidth="1"/>
    <col min="8695" max="8695" width="8.109375" style="2" customWidth="1"/>
    <col min="8696" max="8696" width="9.88671875" style="2" customWidth="1"/>
    <col min="8697" max="8697" width="14.33203125" style="2" customWidth="1"/>
    <col min="8698" max="8698" width="15.33203125" style="2" customWidth="1"/>
    <col min="8699" max="8702" width="11.33203125" style="2" customWidth="1"/>
    <col min="8703" max="8703" width="19.109375" style="2" customWidth="1"/>
    <col min="8704" max="8704" width="19" style="2" customWidth="1"/>
    <col min="8705" max="8727" width="0" style="2" hidden="1" customWidth="1"/>
    <col min="8728" max="8729" width="9.109375" style="2"/>
    <col min="8730" max="8730" width="10.44140625" style="2" bestFit="1" customWidth="1"/>
    <col min="8731" max="8936" width="9.109375" style="2"/>
    <col min="8937" max="8937" width="4.44140625" style="2" bestFit="1" customWidth="1"/>
    <col min="8938" max="8938" width="22.109375" style="2" customWidth="1"/>
    <col min="8939" max="8939" width="22" style="2" customWidth="1"/>
    <col min="8940" max="8941" width="0" style="2" hidden="1" customWidth="1"/>
    <col min="8942" max="8942" width="17" style="2" customWidth="1"/>
    <col min="8943" max="8943" width="9.109375" style="2"/>
    <col min="8944" max="8944" width="10.5546875" style="2" customWidth="1"/>
    <col min="8945" max="8945" width="15.33203125" style="2" customWidth="1"/>
    <col min="8946" max="8946" width="9.33203125" style="2" customWidth="1"/>
    <col min="8947" max="8947" width="9" style="2" customWidth="1"/>
    <col min="8948" max="8948" width="8.33203125" style="2" customWidth="1"/>
    <col min="8949" max="8949" width="11.88671875" style="2" customWidth="1"/>
    <col min="8950" max="8950" width="9.88671875" style="2" customWidth="1"/>
    <col min="8951" max="8951" width="8.109375" style="2" customWidth="1"/>
    <col min="8952" max="8952" width="9.88671875" style="2" customWidth="1"/>
    <col min="8953" max="8953" width="14.33203125" style="2" customWidth="1"/>
    <col min="8954" max="8954" width="15.33203125" style="2" customWidth="1"/>
    <col min="8955" max="8958" width="11.33203125" style="2" customWidth="1"/>
    <col min="8959" max="8959" width="19.109375" style="2" customWidth="1"/>
    <col min="8960" max="8960" width="19" style="2" customWidth="1"/>
    <col min="8961" max="8983" width="0" style="2" hidden="1" customWidth="1"/>
    <col min="8984" max="8985" width="9.109375" style="2"/>
    <col min="8986" max="8986" width="10.44140625" style="2" bestFit="1" customWidth="1"/>
    <col min="8987" max="9192" width="9.109375" style="2"/>
    <col min="9193" max="9193" width="4.44140625" style="2" bestFit="1" customWidth="1"/>
    <col min="9194" max="9194" width="22.109375" style="2" customWidth="1"/>
    <col min="9195" max="9195" width="22" style="2" customWidth="1"/>
    <col min="9196" max="9197" width="0" style="2" hidden="1" customWidth="1"/>
    <col min="9198" max="9198" width="17" style="2" customWidth="1"/>
    <col min="9199" max="9199" width="9.109375" style="2"/>
    <col min="9200" max="9200" width="10.5546875" style="2" customWidth="1"/>
    <col min="9201" max="9201" width="15.33203125" style="2" customWidth="1"/>
    <col min="9202" max="9202" width="9.33203125" style="2" customWidth="1"/>
    <col min="9203" max="9203" width="9" style="2" customWidth="1"/>
    <col min="9204" max="9204" width="8.33203125" style="2" customWidth="1"/>
    <col min="9205" max="9205" width="11.88671875" style="2" customWidth="1"/>
    <col min="9206" max="9206" width="9.88671875" style="2" customWidth="1"/>
    <col min="9207" max="9207" width="8.109375" style="2" customWidth="1"/>
    <col min="9208" max="9208" width="9.88671875" style="2" customWidth="1"/>
    <col min="9209" max="9209" width="14.33203125" style="2" customWidth="1"/>
    <col min="9210" max="9210" width="15.33203125" style="2" customWidth="1"/>
    <col min="9211" max="9214" width="11.33203125" style="2" customWidth="1"/>
    <col min="9215" max="9215" width="19.109375" style="2" customWidth="1"/>
    <col min="9216" max="9216" width="19" style="2" customWidth="1"/>
    <col min="9217" max="9239" width="0" style="2" hidden="1" customWidth="1"/>
    <col min="9240" max="9241" width="9.109375" style="2"/>
    <col min="9242" max="9242" width="10.44140625" style="2" bestFit="1" customWidth="1"/>
    <col min="9243" max="9448" width="9.109375" style="2"/>
    <col min="9449" max="9449" width="4.44140625" style="2" bestFit="1" customWidth="1"/>
    <col min="9450" max="9450" width="22.109375" style="2" customWidth="1"/>
    <col min="9451" max="9451" width="22" style="2" customWidth="1"/>
    <col min="9452" max="9453" width="0" style="2" hidden="1" customWidth="1"/>
    <col min="9454" max="9454" width="17" style="2" customWidth="1"/>
    <col min="9455" max="9455" width="9.109375" style="2"/>
    <col min="9456" max="9456" width="10.5546875" style="2" customWidth="1"/>
    <col min="9457" max="9457" width="15.33203125" style="2" customWidth="1"/>
    <col min="9458" max="9458" width="9.33203125" style="2" customWidth="1"/>
    <col min="9459" max="9459" width="9" style="2" customWidth="1"/>
    <col min="9460" max="9460" width="8.33203125" style="2" customWidth="1"/>
    <col min="9461" max="9461" width="11.88671875" style="2" customWidth="1"/>
    <col min="9462" max="9462" width="9.88671875" style="2" customWidth="1"/>
    <col min="9463" max="9463" width="8.109375" style="2" customWidth="1"/>
    <col min="9464" max="9464" width="9.88671875" style="2" customWidth="1"/>
    <col min="9465" max="9465" width="14.33203125" style="2" customWidth="1"/>
    <col min="9466" max="9466" width="15.33203125" style="2" customWidth="1"/>
    <col min="9467" max="9470" width="11.33203125" style="2" customWidth="1"/>
    <col min="9471" max="9471" width="19.109375" style="2" customWidth="1"/>
    <col min="9472" max="9472" width="19" style="2" customWidth="1"/>
    <col min="9473" max="9495" width="0" style="2" hidden="1" customWidth="1"/>
    <col min="9496" max="9497" width="9.109375" style="2"/>
    <col min="9498" max="9498" width="10.44140625" style="2" bestFit="1" customWidth="1"/>
    <col min="9499" max="9704" width="9.109375" style="2"/>
    <col min="9705" max="9705" width="4.44140625" style="2" bestFit="1" customWidth="1"/>
    <col min="9706" max="9706" width="22.109375" style="2" customWidth="1"/>
    <col min="9707" max="9707" width="22" style="2" customWidth="1"/>
    <col min="9708" max="9709" width="0" style="2" hidden="1" customWidth="1"/>
    <col min="9710" max="9710" width="17" style="2" customWidth="1"/>
    <col min="9711" max="9711" width="9.109375" style="2"/>
    <col min="9712" max="9712" width="10.5546875" style="2" customWidth="1"/>
    <col min="9713" max="9713" width="15.33203125" style="2" customWidth="1"/>
    <col min="9714" max="9714" width="9.33203125" style="2" customWidth="1"/>
    <col min="9715" max="9715" width="9" style="2" customWidth="1"/>
    <col min="9716" max="9716" width="8.33203125" style="2" customWidth="1"/>
    <col min="9717" max="9717" width="11.88671875" style="2" customWidth="1"/>
    <col min="9718" max="9718" width="9.88671875" style="2" customWidth="1"/>
    <col min="9719" max="9719" width="8.109375" style="2" customWidth="1"/>
    <col min="9720" max="9720" width="9.88671875" style="2" customWidth="1"/>
    <col min="9721" max="9721" width="14.33203125" style="2" customWidth="1"/>
    <col min="9722" max="9722" width="15.33203125" style="2" customWidth="1"/>
    <col min="9723" max="9726" width="11.33203125" style="2" customWidth="1"/>
    <col min="9727" max="9727" width="19.109375" style="2" customWidth="1"/>
    <col min="9728" max="9728" width="19" style="2" customWidth="1"/>
    <col min="9729" max="9751" width="0" style="2" hidden="1" customWidth="1"/>
    <col min="9752" max="9753" width="9.109375" style="2"/>
    <col min="9754" max="9754" width="10.44140625" style="2" bestFit="1" customWidth="1"/>
    <col min="9755" max="9960" width="9.109375" style="2"/>
    <col min="9961" max="9961" width="4.44140625" style="2" bestFit="1" customWidth="1"/>
    <col min="9962" max="9962" width="22.109375" style="2" customWidth="1"/>
    <col min="9963" max="9963" width="22" style="2" customWidth="1"/>
    <col min="9964" max="9965" width="0" style="2" hidden="1" customWidth="1"/>
    <col min="9966" max="9966" width="17" style="2" customWidth="1"/>
    <col min="9967" max="9967" width="9.109375" style="2"/>
    <col min="9968" max="9968" width="10.5546875" style="2" customWidth="1"/>
    <col min="9969" max="9969" width="15.33203125" style="2" customWidth="1"/>
    <col min="9970" max="9970" width="9.33203125" style="2" customWidth="1"/>
    <col min="9971" max="9971" width="9" style="2" customWidth="1"/>
    <col min="9972" max="9972" width="8.33203125" style="2" customWidth="1"/>
    <col min="9973" max="9973" width="11.88671875" style="2" customWidth="1"/>
    <col min="9974" max="9974" width="9.88671875" style="2" customWidth="1"/>
    <col min="9975" max="9975" width="8.109375" style="2" customWidth="1"/>
    <col min="9976" max="9976" width="9.88671875" style="2" customWidth="1"/>
    <col min="9977" max="9977" width="14.33203125" style="2" customWidth="1"/>
    <col min="9978" max="9978" width="15.33203125" style="2" customWidth="1"/>
    <col min="9979" max="9982" width="11.33203125" style="2" customWidth="1"/>
    <col min="9983" max="9983" width="19.109375" style="2" customWidth="1"/>
    <col min="9984" max="9984" width="19" style="2" customWidth="1"/>
    <col min="9985" max="10007" width="0" style="2" hidden="1" customWidth="1"/>
    <col min="10008" max="10009" width="9.109375" style="2"/>
    <col min="10010" max="10010" width="10.44140625" style="2" bestFit="1" customWidth="1"/>
    <col min="10011" max="10216" width="9.109375" style="2"/>
    <col min="10217" max="10217" width="4.44140625" style="2" bestFit="1" customWidth="1"/>
    <col min="10218" max="10218" width="22.109375" style="2" customWidth="1"/>
    <col min="10219" max="10219" width="22" style="2" customWidth="1"/>
    <col min="10220" max="10221" width="0" style="2" hidden="1" customWidth="1"/>
    <col min="10222" max="10222" width="17" style="2" customWidth="1"/>
    <col min="10223" max="10223" width="9.109375" style="2"/>
    <col min="10224" max="10224" width="10.5546875" style="2" customWidth="1"/>
    <col min="10225" max="10225" width="15.33203125" style="2" customWidth="1"/>
    <col min="10226" max="10226" width="9.33203125" style="2" customWidth="1"/>
    <col min="10227" max="10227" width="9" style="2" customWidth="1"/>
    <col min="10228" max="10228" width="8.33203125" style="2" customWidth="1"/>
    <col min="10229" max="10229" width="11.88671875" style="2" customWidth="1"/>
    <col min="10230" max="10230" width="9.88671875" style="2" customWidth="1"/>
    <col min="10231" max="10231" width="8.109375" style="2" customWidth="1"/>
    <col min="10232" max="10232" width="9.88671875" style="2" customWidth="1"/>
    <col min="10233" max="10233" width="14.33203125" style="2" customWidth="1"/>
    <col min="10234" max="10234" width="15.33203125" style="2" customWidth="1"/>
    <col min="10235" max="10238" width="11.33203125" style="2" customWidth="1"/>
    <col min="10239" max="10239" width="19.109375" style="2" customWidth="1"/>
    <col min="10240" max="10240" width="19" style="2" customWidth="1"/>
    <col min="10241" max="10263" width="0" style="2" hidden="1" customWidth="1"/>
    <col min="10264" max="10265" width="9.109375" style="2"/>
    <col min="10266" max="10266" width="10.44140625" style="2" bestFit="1" customWidth="1"/>
    <col min="10267" max="10472" width="9.109375" style="2"/>
    <col min="10473" max="10473" width="4.44140625" style="2" bestFit="1" customWidth="1"/>
    <col min="10474" max="10474" width="22.109375" style="2" customWidth="1"/>
    <col min="10475" max="10475" width="22" style="2" customWidth="1"/>
    <col min="10476" max="10477" width="0" style="2" hidden="1" customWidth="1"/>
    <col min="10478" max="10478" width="17" style="2" customWidth="1"/>
    <col min="10479" max="10479" width="9.109375" style="2"/>
    <col min="10480" max="10480" width="10.5546875" style="2" customWidth="1"/>
    <col min="10481" max="10481" width="15.33203125" style="2" customWidth="1"/>
    <col min="10482" max="10482" width="9.33203125" style="2" customWidth="1"/>
    <col min="10483" max="10483" width="9" style="2" customWidth="1"/>
    <col min="10484" max="10484" width="8.33203125" style="2" customWidth="1"/>
    <col min="10485" max="10485" width="11.88671875" style="2" customWidth="1"/>
    <col min="10486" max="10486" width="9.88671875" style="2" customWidth="1"/>
    <col min="10487" max="10487" width="8.109375" style="2" customWidth="1"/>
    <col min="10488" max="10488" width="9.88671875" style="2" customWidth="1"/>
    <col min="10489" max="10489" width="14.33203125" style="2" customWidth="1"/>
    <col min="10490" max="10490" width="15.33203125" style="2" customWidth="1"/>
    <col min="10491" max="10494" width="11.33203125" style="2" customWidth="1"/>
    <col min="10495" max="10495" width="19.109375" style="2" customWidth="1"/>
    <col min="10496" max="10496" width="19" style="2" customWidth="1"/>
    <col min="10497" max="10519" width="0" style="2" hidden="1" customWidth="1"/>
    <col min="10520" max="10521" width="9.109375" style="2"/>
    <col min="10522" max="10522" width="10.44140625" style="2" bestFit="1" customWidth="1"/>
    <col min="10523" max="10728" width="9.109375" style="2"/>
    <col min="10729" max="10729" width="4.44140625" style="2" bestFit="1" customWidth="1"/>
    <col min="10730" max="10730" width="22.109375" style="2" customWidth="1"/>
    <col min="10731" max="10731" width="22" style="2" customWidth="1"/>
    <col min="10732" max="10733" width="0" style="2" hidden="1" customWidth="1"/>
    <col min="10734" max="10734" width="17" style="2" customWidth="1"/>
    <col min="10735" max="10735" width="9.109375" style="2"/>
    <col min="10736" max="10736" width="10.5546875" style="2" customWidth="1"/>
    <col min="10737" max="10737" width="15.33203125" style="2" customWidth="1"/>
    <col min="10738" max="10738" width="9.33203125" style="2" customWidth="1"/>
    <col min="10739" max="10739" width="9" style="2" customWidth="1"/>
    <col min="10740" max="10740" width="8.33203125" style="2" customWidth="1"/>
    <col min="10741" max="10741" width="11.88671875" style="2" customWidth="1"/>
    <col min="10742" max="10742" width="9.88671875" style="2" customWidth="1"/>
    <col min="10743" max="10743" width="8.109375" style="2" customWidth="1"/>
    <col min="10744" max="10744" width="9.88671875" style="2" customWidth="1"/>
    <col min="10745" max="10745" width="14.33203125" style="2" customWidth="1"/>
    <col min="10746" max="10746" width="15.33203125" style="2" customWidth="1"/>
    <col min="10747" max="10750" width="11.33203125" style="2" customWidth="1"/>
    <col min="10751" max="10751" width="19.109375" style="2" customWidth="1"/>
    <col min="10752" max="10752" width="19" style="2" customWidth="1"/>
    <col min="10753" max="10775" width="0" style="2" hidden="1" customWidth="1"/>
    <col min="10776" max="10777" width="9.109375" style="2"/>
    <col min="10778" max="10778" width="10.44140625" style="2" bestFit="1" customWidth="1"/>
    <col min="10779" max="10984" width="9.109375" style="2"/>
    <col min="10985" max="10985" width="4.44140625" style="2" bestFit="1" customWidth="1"/>
    <col min="10986" max="10986" width="22.109375" style="2" customWidth="1"/>
    <col min="10987" max="10987" width="22" style="2" customWidth="1"/>
    <col min="10988" max="10989" width="0" style="2" hidden="1" customWidth="1"/>
    <col min="10990" max="10990" width="17" style="2" customWidth="1"/>
    <col min="10991" max="10991" width="9.109375" style="2"/>
    <col min="10992" max="10992" width="10.5546875" style="2" customWidth="1"/>
    <col min="10993" max="10993" width="15.33203125" style="2" customWidth="1"/>
    <col min="10994" max="10994" width="9.33203125" style="2" customWidth="1"/>
    <col min="10995" max="10995" width="9" style="2" customWidth="1"/>
    <col min="10996" max="10996" width="8.33203125" style="2" customWidth="1"/>
    <col min="10997" max="10997" width="11.88671875" style="2" customWidth="1"/>
    <col min="10998" max="10998" width="9.88671875" style="2" customWidth="1"/>
    <col min="10999" max="10999" width="8.109375" style="2" customWidth="1"/>
    <col min="11000" max="11000" width="9.88671875" style="2" customWidth="1"/>
    <col min="11001" max="11001" width="14.33203125" style="2" customWidth="1"/>
    <col min="11002" max="11002" width="15.33203125" style="2" customWidth="1"/>
    <col min="11003" max="11006" width="11.33203125" style="2" customWidth="1"/>
    <col min="11007" max="11007" width="19.109375" style="2" customWidth="1"/>
    <col min="11008" max="11008" width="19" style="2" customWidth="1"/>
    <col min="11009" max="11031" width="0" style="2" hidden="1" customWidth="1"/>
    <col min="11032" max="11033" width="9.109375" style="2"/>
    <col min="11034" max="11034" width="10.44140625" style="2" bestFit="1" customWidth="1"/>
    <col min="11035" max="11240" width="9.109375" style="2"/>
    <col min="11241" max="11241" width="4.44140625" style="2" bestFit="1" customWidth="1"/>
    <col min="11242" max="11242" width="22.109375" style="2" customWidth="1"/>
    <col min="11243" max="11243" width="22" style="2" customWidth="1"/>
    <col min="11244" max="11245" width="0" style="2" hidden="1" customWidth="1"/>
    <col min="11246" max="11246" width="17" style="2" customWidth="1"/>
    <col min="11247" max="11247" width="9.109375" style="2"/>
    <col min="11248" max="11248" width="10.5546875" style="2" customWidth="1"/>
    <col min="11249" max="11249" width="15.33203125" style="2" customWidth="1"/>
    <col min="11250" max="11250" width="9.33203125" style="2" customWidth="1"/>
    <col min="11251" max="11251" width="9" style="2" customWidth="1"/>
    <col min="11252" max="11252" width="8.33203125" style="2" customWidth="1"/>
    <col min="11253" max="11253" width="11.88671875" style="2" customWidth="1"/>
    <col min="11254" max="11254" width="9.88671875" style="2" customWidth="1"/>
    <col min="11255" max="11255" width="8.109375" style="2" customWidth="1"/>
    <col min="11256" max="11256" width="9.88671875" style="2" customWidth="1"/>
    <col min="11257" max="11257" width="14.33203125" style="2" customWidth="1"/>
    <col min="11258" max="11258" width="15.33203125" style="2" customWidth="1"/>
    <col min="11259" max="11262" width="11.33203125" style="2" customWidth="1"/>
    <col min="11263" max="11263" width="19.109375" style="2" customWidth="1"/>
    <col min="11264" max="11264" width="19" style="2" customWidth="1"/>
    <col min="11265" max="11287" width="0" style="2" hidden="1" customWidth="1"/>
    <col min="11288" max="11289" width="9.109375" style="2"/>
    <col min="11290" max="11290" width="10.44140625" style="2" bestFit="1" customWidth="1"/>
    <col min="11291" max="11496" width="9.109375" style="2"/>
    <col min="11497" max="11497" width="4.44140625" style="2" bestFit="1" customWidth="1"/>
    <col min="11498" max="11498" width="22.109375" style="2" customWidth="1"/>
    <col min="11499" max="11499" width="22" style="2" customWidth="1"/>
    <col min="11500" max="11501" width="0" style="2" hidden="1" customWidth="1"/>
    <col min="11502" max="11502" width="17" style="2" customWidth="1"/>
    <col min="11503" max="11503" width="9.109375" style="2"/>
    <col min="11504" max="11504" width="10.5546875" style="2" customWidth="1"/>
    <col min="11505" max="11505" width="15.33203125" style="2" customWidth="1"/>
    <col min="11506" max="11506" width="9.33203125" style="2" customWidth="1"/>
    <col min="11507" max="11507" width="9" style="2" customWidth="1"/>
    <col min="11508" max="11508" width="8.33203125" style="2" customWidth="1"/>
    <col min="11509" max="11509" width="11.88671875" style="2" customWidth="1"/>
    <col min="11510" max="11510" width="9.88671875" style="2" customWidth="1"/>
    <col min="11511" max="11511" width="8.109375" style="2" customWidth="1"/>
    <col min="11512" max="11512" width="9.88671875" style="2" customWidth="1"/>
    <col min="11513" max="11513" width="14.33203125" style="2" customWidth="1"/>
    <col min="11514" max="11514" width="15.33203125" style="2" customWidth="1"/>
    <col min="11515" max="11518" width="11.33203125" style="2" customWidth="1"/>
    <col min="11519" max="11519" width="19.109375" style="2" customWidth="1"/>
    <col min="11520" max="11520" width="19" style="2" customWidth="1"/>
    <col min="11521" max="11543" width="0" style="2" hidden="1" customWidth="1"/>
    <col min="11544" max="11545" width="9.109375" style="2"/>
    <col min="11546" max="11546" width="10.44140625" style="2" bestFit="1" customWidth="1"/>
    <col min="11547" max="11752" width="9.109375" style="2"/>
    <col min="11753" max="11753" width="4.44140625" style="2" bestFit="1" customWidth="1"/>
    <col min="11754" max="11754" width="22.109375" style="2" customWidth="1"/>
    <col min="11755" max="11755" width="22" style="2" customWidth="1"/>
    <col min="11756" max="11757" width="0" style="2" hidden="1" customWidth="1"/>
    <col min="11758" max="11758" width="17" style="2" customWidth="1"/>
    <col min="11759" max="11759" width="9.109375" style="2"/>
    <col min="11760" max="11760" width="10.5546875" style="2" customWidth="1"/>
    <col min="11761" max="11761" width="15.33203125" style="2" customWidth="1"/>
    <col min="11762" max="11762" width="9.33203125" style="2" customWidth="1"/>
    <col min="11763" max="11763" width="9" style="2" customWidth="1"/>
    <col min="11764" max="11764" width="8.33203125" style="2" customWidth="1"/>
    <col min="11765" max="11765" width="11.88671875" style="2" customWidth="1"/>
    <col min="11766" max="11766" width="9.88671875" style="2" customWidth="1"/>
    <col min="11767" max="11767" width="8.109375" style="2" customWidth="1"/>
    <col min="11768" max="11768" width="9.88671875" style="2" customWidth="1"/>
    <col min="11769" max="11769" width="14.33203125" style="2" customWidth="1"/>
    <col min="11770" max="11770" width="15.33203125" style="2" customWidth="1"/>
    <col min="11771" max="11774" width="11.33203125" style="2" customWidth="1"/>
    <col min="11775" max="11775" width="19.109375" style="2" customWidth="1"/>
    <col min="11776" max="11776" width="19" style="2" customWidth="1"/>
    <col min="11777" max="11799" width="0" style="2" hidden="1" customWidth="1"/>
    <col min="11800" max="11801" width="9.109375" style="2"/>
    <col min="11802" max="11802" width="10.44140625" style="2" bestFit="1" customWidth="1"/>
    <col min="11803" max="12008" width="9.109375" style="2"/>
    <col min="12009" max="12009" width="4.44140625" style="2" bestFit="1" customWidth="1"/>
    <col min="12010" max="12010" width="22.109375" style="2" customWidth="1"/>
    <col min="12011" max="12011" width="22" style="2" customWidth="1"/>
    <col min="12012" max="12013" width="0" style="2" hidden="1" customWidth="1"/>
    <col min="12014" max="12014" width="17" style="2" customWidth="1"/>
    <col min="12015" max="12015" width="9.109375" style="2"/>
    <col min="12016" max="12016" width="10.5546875" style="2" customWidth="1"/>
    <col min="12017" max="12017" width="15.33203125" style="2" customWidth="1"/>
    <col min="12018" max="12018" width="9.33203125" style="2" customWidth="1"/>
    <col min="12019" max="12019" width="9" style="2" customWidth="1"/>
    <col min="12020" max="12020" width="8.33203125" style="2" customWidth="1"/>
    <col min="12021" max="12021" width="11.88671875" style="2" customWidth="1"/>
    <col min="12022" max="12022" width="9.88671875" style="2" customWidth="1"/>
    <col min="12023" max="12023" width="8.109375" style="2" customWidth="1"/>
    <col min="12024" max="12024" width="9.88671875" style="2" customWidth="1"/>
    <col min="12025" max="12025" width="14.33203125" style="2" customWidth="1"/>
    <col min="12026" max="12026" width="15.33203125" style="2" customWidth="1"/>
    <col min="12027" max="12030" width="11.33203125" style="2" customWidth="1"/>
    <col min="12031" max="12031" width="19.109375" style="2" customWidth="1"/>
    <col min="12032" max="12032" width="19" style="2" customWidth="1"/>
    <col min="12033" max="12055" width="0" style="2" hidden="1" customWidth="1"/>
    <col min="12056" max="12057" width="9.109375" style="2"/>
    <col min="12058" max="12058" width="10.44140625" style="2" bestFit="1" customWidth="1"/>
    <col min="12059" max="12264" width="9.109375" style="2"/>
    <col min="12265" max="12265" width="4.44140625" style="2" bestFit="1" customWidth="1"/>
    <col min="12266" max="12266" width="22.109375" style="2" customWidth="1"/>
    <col min="12267" max="12267" width="22" style="2" customWidth="1"/>
    <col min="12268" max="12269" width="0" style="2" hidden="1" customWidth="1"/>
    <col min="12270" max="12270" width="17" style="2" customWidth="1"/>
    <col min="12271" max="12271" width="9.109375" style="2"/>
    <col min="12272" max="12272" width="10.5546875" style="2" customWidth="1"/>
    <col min="12273" max="12273" width="15.33203125" style="2" customWidth="1"/>
    <col min="12274" max="12274" width="9.33203125" style="2" customWidth="1"/>
    <col min="12275" max="12275" width="9" style="2" customWidth="1"/>
    <col min="12276" max="12276" width="8.33203125" style="2" customWidth="1"/>
    <col min="12277" max="12277" width="11.88671875" style="2" customWidth="1"/>
    <col min="12278" max="12278" width="9.88671875" style="2" customWidth="1"/>
    <col min="12279" max="12279" width="8.109375" style="2" customWidth="1"/>
    <col min="12280" max="12280" width="9.88671875" style="2" customWidth="1"/>
    <col min="12281" max="12281" width="14.33203125" style="2" customWidth="1"/>
    <col min="12282" max="12282" width="15.33203125" style="2" customWidth="1"/>
    <col min="12283" max="12286" width="11.33203125" style="2" customWidth="1"/>
    <col min="12287" max="12287" width="19.109375" style="2" customWidth="1"/>
    <col min="12288" max="12288" width="19" style="2" customWidth="1"/>
    <col min="12289" max="12311" width="0" style="2" hidden="1" customWidth="1"/>
    <col min="12312" max="12313" width="9.109375" style="2"/>
    <col min="12314" max="12314" width="10.44140625" style="2" bestFit="1" customWidth="1"/>
    <col min="12315" max="12520" width="9.109375" style="2"/>
    <col min="12521" max="12521" width="4.44140625" style="2" bestFit="1" customWidth="1"/>
    <col min="12522" max="12522" width="22.109375" style="2" customWidth="1"/>
    <col min="12523" max="12523" width="22" style="2" customWidth="1"/>
    <col min="12524" max="12525" width="0" style="2" hidden="1" customWidth="1"/>
    <col min="12526" max="12526" width="17" style="2" customWidth="1"/>
    <col min="12527" max="12527" width="9.109375" style="2"/>
    <col min="12528" max="12528" width="10.5546875" style="2" customWidth="1"/>
    <col min="12529" max="12529" width="15.33203125" style="2" customWidth="1"/>
    <col min="12530" max="12530" width="9.33203125" style="2" customWidth="1"/>
    <col min="12531" max="12531" width="9" style="2" customWidth="1"/>
    <col min="12532" max="12532" width="8.33203125" style="2" customWidth="1"/>
    <col min="12533" max="12533" width="11.88671875" style="2" customWidth="1"/>
    <col min="12534" max="12534" width="9.88671875" style="2" customWidth="1"/>
    <col min="12535" max="12535" width="8.109375" style="2" customWidth="1"/>
    <col min="12536" max="12536" width="9.88671875" style="2" customWidth="1"/>
    <col min="12537" max="12537" width="14.33203125" style="2" customWidth="1"/>
    <col min="12538" max="12538" width="15.33203125" style="2" customWidth="1"/>
    <col min="12539" max="12542" width="11.33203125" style="2" customWidth="1"/>
    <col min="12543" max="12543" width="19.109375" style="2" customWidth="1"/>
    <col min="12544" max="12544" width="19" style="2" customWidth="1"/>
    <col min="12545" max="12567" width="0" style="2" hidden="1" customWidth="1"/>
    <col min="12568" max="12569" width="9.109375" style="2"/>
    <col min="12570" max="12570" width="10.44140625" style="2" bestFit="1" customWidth="1"/>
    <col min="12571" max="12776" width="9.109375" style="2"/>
    <col min="12777" max="12777" width="4.44140625" style="2" bestFit="1" customWidth="1"/>
    <col min="12778" max="12778" width="22.109375" style="2" customWidth="1"/>
    <col min="12779" max="12779" width="22" style="2" customWidth="1"/>
    <col min="12780" max="12781" width="0" style="2" hidden="1" customWidth="1"/>
    <col min="12782" max="12782" width="17" style="2" customWidth="1"/>
    <col min="12783" max="12783" width="9.109375" style="2"/>
    <col min="12784" max="12784" width="10.5546875" style="2" customWidth="1"/>
    <col min="12785" max="12785" width="15.33203125" style="2" customWidth="1"/>
    <col min="12786" max="12786" width="9.33203125" style="2" customWidth="1"/>
    <col min="12787" max="12787" width="9" style="2" customWidth="1"/>
    <col min="12788" max="12788" width="8.33203125" style="2" customWidth="1"/>
    <col min="12789" max="12789" width="11.88671875" style="2" customWidth="1"/>
    <col min="12790" max="12790" width="9.88671875" style="2" customWidth="1"/>
    <col min="12791" max="12791" width="8.109375" style="2" customWidth="1"/>
    <col min="12792" max="12792" width="9.88671875" style="2" customWidth="1"/>
    <col min="12793" max="12793" width="14.33203125" style="2" customWidth="1"/>
    <col min="12794" max="12794" width="15.33203125" style="2" customWidth="1"/>
    <col min="12795" max="12798" width="11.33203125" style="2" customWidth="1"/>
    <col min="12799" max="12799" width="19.109375" style="2" customWidth="1"/>
    <col min="12800" max="12800" width="19" style="2" customWidth="1"/>
    <col min="12801" max="12823" width="0" style="2" hidden="1" customWidth="1"/>
    <col min="12824" max="12825" width="9.109375" style="2"/>
    <col min="12826" max="12826" width="10.44140625" style="2" bestFit="1" customWidth="1"/>
    <col min="12827" max="13032" width="9.109375" style="2"/>
    <col min="13033" max="13033" width="4.44140625" style="2" bestFit="1" customWidth="1"/>
    <col min="13034" max="13034" width="22.109375" style="2" customWidth="1"/>
    <col min="13035" max="13035" width="22" style="2" customWidth="1"/>
    <col min="13036" max="13037" width="0" style="2" hidden="1" customWidth="1"/>
    <col min="13038" max="13038" width="17" style="2" customWidth="1"/>
    <col min="13039" max="13039" width="9.109375" style="2"/>
    <col min="13040" max="13040" width="10.5546875" style="2" customWidth="1"/>
    <col min="13041" max="13041" width="15.33203125" style="2" customWidth="1"/>
    <col min="13042" max="13042" width="9.33203125" style="2" customWidth="1"/>
    <col min="13043" max="13043" width="9" style="2" customWidth="1"/>
    <col min="13044" max="13044" width="8.33203125" style="2" customWidth="1"/>
    <col min="13045" max="13045" width="11.88671875" style="2" customWidth="1"/>
    <col min="13046" max="13046" width="9.88671875" style="2" customWidth="1"/>
    <col min="13047" max="13047" width="8.109375" style="2" customWidth="1"/>
    <col min="13048" max="13048" width="9.88671875" style="2" customWidth="1"/>
    <col min="13049" max="13049" width="14.33203125" style="2" customWidth="1"/>
    <col min="13050" max="13050" width="15.33203125" style="2" customWidth="1"/>
    <col min="13051" max="13054" width="11.33203125" style="2" customWidth="1"/>
    <col min="13055" max="13055" width="19.109375" style="2" customWidth="1"/>
    <col min="13056" max="13056" width="19" style="2" customWidth="1"/>
    <col min="13057" max="13079" width="0" style="2" hidden="1" customWidth="1"/>
    <col min="13080" max="13081" width="9.109375" style="2"/>
    <col min="13082" max="13082" width="10.44140625" style="2" bestFit="1" customWidth="1"/>
    <col min="13083" max="13288" width="9.109375" style="2"/>
    <col min="13289" max="13289" width="4.44140625" style="2" bestFit="1" customWidth="1"/>
    <col min="13290" max="13290" width="22.109375" style="2" customWidth="1"/>
    <col min="13291" max="13291" width="22" style="2" customWidth="1"/>
    <col min="13292" max="13293" width="0" style="2" hidden="1" customWidth="1"/>
    <col min="13294" max="13294" width="17" style="2" customWidth="1"/>
    <col min="13295" max="13295" width="9.109375" style="2"/>
    <col min="13296" max="13296" width="10.5546875" style="2" customWidth="1"/>
    <col min="13297" max="13297" width="15.33203125" style="2" customWidth="1"/>
    <col min="13298" max="13298" width="9.33203125" style="2" customWidth="1"/>
    <col min="13299" max="13299" width="9" style="2" customWidth="1"/>
    <col min="13300" max="13300" width="8.33203125" style="2" customWidth="1"/>
    <col min="13301" max="13301" width="11.88671875" style="2" customWidth="1"/>
    <col min="13302" max="13302" width="9.88671875" style="2" customWidth="1"/>
    <col min="13303" max="13303" width="8.109375" style="2" customWidth="1"/>
    <col min="13304" max="13304" width="9.88671875" style="2" customWidth="1"/>
    <col min="13305" max="13305" width="14.33203125" style="2" customWidth="1"/>
    <col min="13306" max="13306" width="15.33203125" style="2" customWidth="1"/>
    <col min="13307" max="13310" width="11.33203125" style="2" customWidth="1"/>
    <col min="13311" max="13311" width="19.109375" style="2" customWidth="1"/>
    <col min="13312" max="13312" width="19" style="2" customWidth="1"/>
    <col min="13313" max="13335" width="0" style="2" hidden="1" customWidth="1"/>
    <col min="13336" max="13337" width="9.109375" style="2"/>
    <col min="13338" max="13338" width="10.44140625" style="2" bestFit="1" customWidth="1"/>
    <col min="13339" max="13544" width="9.109375" style="2"/>
    <col min="13545" max="13545" width="4.44140625" style="2" bestFit="1" customWidth="1"/>
    <col min="13546" max="13546" width="22.109375" style="2" customWidth="1"/>
    <col min="13547" max="13547" width="22" style="2" customWidth="1"/>
    <col min="13548" max="13549" width="0" style="2" hidden="1" customWidth="1"/>
    <col min="13550" max="13550" width="17" style="2" customWidth="1"/>
    <col min="13551" max="13551" width="9.109375" style="2"/>
    <col min="13552" max="13552" width="10.5546875" style="2" customWidth="1"/>
    <col min="13553" max="13553" width="15.33203125" style="2" customWidth="1"/>
    <col min="13554" max="13554" width="9.33203125" style="2" customWidth="1"/>
    <col min="13555" max="13555" width="9" style="2" customWidth="1"/>
    <col min="13556" max="13556" width="8.33203125" style="2" customWidth="1"/>
    <col min="13557" max="13557" width="11.88671875" style="2" customWidth="1"/>
    <col min="13558" max="13558" width="9.88671875" style="2" customWidth="1"/>
    <col min="13559" max="13559" width="8.109375" style="2" customWidth="1"/>
    <col min="13560" max="13560" width="9.88671875" style="2" customWidth="1"/>
    <col min="13561" max="13561" width="14.33203125" style="2" customWidth="1"/>
    <col min="13562" max="13562" width="15.33203125" style="2" customWidth="1"/>
    <col min="13563" max="13566" width="11.33203125" style="2" customWidth="1"/>
    <col min="13567" max="13567" width="19.109375" style="2" customWidth="1"/>
    <col min="13568" max="13568" width="19" style="2" customWidth="1"/>
    <col min="13569" max="13591" width="0" style="2" hidden="1" customWidth="1"/>
    <col min="13592" max="13593" width="9.109375" style="2"/>
    <col min="13594" max="13594" width="10.44140625" style="2" bestFit="1" customWidth="1"/>
    <col min="13595" max="13800" width="9.109375" style="2"/>
    <col min="13801" max="13801" width="4.44140625" style="2" bestFit="1" customWidth="1"/>
    <col min="13802" max="13802" width="22.109375" style="2" customWidth="1"/>
    <col min="13803" max="13803" width="22" style="2" customWidth="1"/>
    <col min="13804" max="13805" width="0" style="2" hidden="1" customWidth="1"/>
    <col min="13806" max="13806" width="17" style="2" customWidth="1"/>
    <col min="13807" max="13807" width="9.109375" style="2"/>
    <col min="13808" max="13808" width="10.5546875" style="2" customWidth="1"/>
    <col min="13809" max="13809" width="15.33203125" style="2" customWidth="1"/>
    <col min="13810" max="13810" width="9.33203125" style="2" customWidth="1"/>
    <col min="13811" max="13811" width="9" style="2" customWidth="1"/>
    <col min="13812" max="13812" width="8.33203125" style="2" customWidth="1"/>
    <col min="13813" max="13813" width="11.88671875" style="2" customWidth="1"/>
    <col min="13814" max="13814" width="9.88671875" style="2" customWidth="1"/>
    <col min="13815" max="13815" width="8.109375" style="2" customWidth="1"/>
    <col min="13816" max="13816" width="9.88671875" style="2" customWidth="1"/>
    <col min="13817" max="13817" width="14.33203125" style="2" customWidth="1"/>
    <col min="13818" max="13818" width="15.33203125" style="2" customWidth="1"/>
    <col min="13819" max="13822" width="11.33203125" style="2" customWidth="1"/>
    <col min="13823" max="13823" width="19.109375" style="2" customWidth="1"/>
    <col min="13824" max="13824" width="19" style="2" customWidth="1"/>
    <col min="13825" max="13847" width="0" style="2" hidden="1" customWidth="1"/>
    <col min="13848" max="13849" width="9.109375" style="2"/>
    <col min="13850" max="13850" width="10.44140625" style="2" bestFit="1" customWidth="1"/>
    <col min="13851" max="14056" width="9.109375" style="2"/>
    <col min="14057" max="14057" width="4.44140625" style="2" bestFit="1" customWidth="1"/>
    <col min="14058" max="14058" width="22.109375" style="2" customWidth="1"/>
    <col min="14059" max="14059" width="22" style="2" customWidth="1"/>
    <col min="14060" max="14061" width="0" style="2" hidden="1" customWidth="1"/>
    <col min="14062" max="14062" width="17" style="2" customWidth="1"/>
    <col min="14063" max="14063" width="9.109375" style="2"/>
    <col min="14064" max="14064" width="10.5546875" style="2" customWidth="1"/>
    <col min="14065" max="14065" width="15.33203125" style="2" customWidth="1"/>
    <col min="14066" max="14066" width="9.33203125" style="2" customWidth="1"/>
    <col min="14067" max="14067" width="9" style="2" customWidth="1"/>
    <col min="14068" max="14068" width="8.33203125" style="2" customWidth="1"/>
    <col min="14069" max="14069" width="11.88671875" style="2" customWidth="1"/>
    <col min="14070" max="14070" width="9.88671875" style="2" customWidth="1"/>
    <col min="14071" max="14071" width="8.109375" style="2" customWidth="1"/>
    <col min="14072" max="14072" width="9.88671875" style="2" customWidth="1"/>
    <col min="14073" max="14073" width="14.33203125" style="2" customWidth="1"/>
    <col min="14074" max="14074" width="15.33203125" style="2" customWidth="1"/>
    <col min="14075" max="14078" width="11.33203125" style="2" customWidth="1"/>
    <col min="14079" max="14079" width="19.109375" style="2" customWidth="1"/>
    <col min="14080" max="14080" width="19" style="2" customWidth="1"/>
    <col min="14081" max="14103" width="0" style="2" hidden="1" customWidth="1"/>
    <col min="14104" max="14105" width="9.109375" style="2"/>
    <col min="14106" max="14106" width="10.44140625" style="2" bestFit="1" customWidth="1"/>
    <col min="14107" max="14312" width="9.109375" style="2"/>
    <col min="14313" max="14313" width="4.44140625" style="2" bestFit="1" customWidth="1"/>
    <col min="14314" max="14314" width="22.109375" style="2" customWidth="1"/>
    <col min="14315" max="14315" width="22" style="2" customWidth="1"/>
    <col min="14316" max="14317" width="0" style="2" hidden="1" customWidth="1"/>
    <col min="14318" max="14318" width="17" style="2" customWidth="1"/>
    <col min="14319" max="14319" width="9.109375" style="2"/>
    <col min="14320" max="14320" width="10.5546875" style="2" customWidth="1"/>
    <col min="14321" max="14321" width="15.33203125" style="2" customWidth="1"/>
    <col min="14322" max="14322" width="9.33203125" style="2" customWidth="1"/>
    <col min="14323" max="14323" width="9" style="2" customWidth="1"/>
    <col min="14324" max="14324" width="8.33203125" style="2" customWidth="1"/>
    <col min="14325" max="14325" width="11.88671875" style="2" customWidth="1"/>
    <col min="14326" max="14326" width="9.88671875" style="2" customWidth="1"/>
    <col min="14327" max="14327" width="8.109375" style="2" customWidth="1"/>
    <col min="14328" max="14328" width="9.88671875" style="2" customWidth="1"/>
    <col min="14329" max="14329" width="14.33203125" style="2" customWidth="1"/>
    <col min="14330" max="14330" width="15.33203125" style="2" customWidth="1"/>
    <col min="14331" max="14334" width="11.33203125" style="2" customWidth="1"/>
    <col min="14335" max="14335" width="19.109375" style="2" customWidth="1"/>
    <col min="14336" max="14336" width="19" style="2" customWidth="1"/>
    <col min="14337" max="14359" width="0" style="2" hidden="1" customWidth="1"/>
    <col min="14360" max="14361" width="9.109375" style="2"/>
    <col min="14362" max="14362" width="10.44140625" style="2" bestFit="1" customWidth="1"/>
    <col min="14363" max="14568" width="9.109375" style="2"/>
    <col min="14569" max="14569" width="4.44140625" style="2" bestFit="1" customWidth="1"/>
    <col min="14570" max="14570" width="22.109375" style="2" customWidth="1"/>
    <col min="14571" max="14571" width="22" style="2" customWidth="1"/>
    <col min="14572" max="14573" width="0" style="2" hidden="1" customWidth="1"/>
    <col min="14574" max="14574" width="17" style="2" customWidth="1"/>
    <col min="14575" max="14575" width="9.109375" style="2"/>
    <col min="14576" max="14576" width="10.5546875" style="2" customWidth="1"/>
    <col min="14577" max="14577" width="15.33203125" style="2" customWidth="1"/>
    <col min="14578" max="14578" width="9.33203125" style="2" customWidth="1"/>
    <col min="14579" max="14579" width="9" style="2" customWidth="1"/>
    <col min="14580" max="14580" width="8.33203125" style="2" customWidth="1"/>
    <col min="14581" max="14581" width="11.88671875" style="2" customWidth="1"/>
    <col min="14582" max="14582" width="9.88671875" style="2" customWidth="1"/>
    <col min="14583" max="14583" width="8.109375" style="2" customWidth="1"/>
    <col min="14584" max="14584" width="9.88671875" style="2" customWidth="1"/>
    <col min="14585" max="14585" width="14.33203125" style="2" customWidth="1"/>
    <col min="14586" max="14586" width="15.33203125" style="2" customWidth="1"/>
    <col min="14587" max="14590" width="11.33203125" style="2" customWidth="1"/>
    <col min="14591" max="14591" width="19.109375" style="2" customWidth="1"/>
    <col min="14592" max="14592" width="19" style="2" customWidth="1"/>
    <col min="14593" max="14615" width="0" style="2" hidden="1" customWidth="1"/>
    <col min="14616" max="14617" width="9.109375" style="2"/>
    <col min="14618" max="14618" width="10.44140625" style="2" bestFit="1" customWidth="1"/>
    <col min="14619" max="14824" width="9.109375" style="2"/>
    <col min="14825" max="14825" width="4.44140625" style="2" bestFit="1" customWidth="1"/>
    <col min="14826" max="14826" width="22.109375" style="2" customWidth="1"/>
    <col min="14827" max="14827" width="22" style="2" customWidth="1"/>
    <col min="14828" max="14829" width="0" style="2" hidden="1" customWidth="1"/>
    <col min="14830" max="14830" width="17" style="2" customWidth="1"/>
    <col min="14831" max="14831" width="9.109375" style="2"/>
    <col min="14832" max="14832" width="10.5546875" style="2" customWidth="1"/>
    <col min="14833" max="14833" width="15.33203125" style="2" customWidth="1"/>
    <col min="14834" max="14834" width="9.33203125" style="2" customWidth="1"/>
    <col min="14835" max="14835" width="9" style="2" customWidth="1"/>
    <col min="14836" max="14836" width="8.33203125" style="2" customWidth="1"/>
    <col min="14837" max="14837" width="11.88671875" style="2" customWidth="1"/>
    <col min="14838" max="14838" width="9.88671875" style="2" customWidth="1"/>
    <col min="14839" max="14839" width="8.109375" style="2" customWidth="1"/>
    <col min="14840" max="14840" width="9.88671875" style="2" customWidth="1"/>
    <col min="14841" max="14841" width="14.33203125" style="2" customWidth="1"/>
    <col min="14842" max="14842" width="15.33203125" style="2" customWidth="1"/>
    <col min="14843" max="14846" width="11.33203125" style="2" customWidth="1"/>
    <col min="14847" max="14847" width="19.109375" style="2" customWidth="1"/>
    <col min="14848" max="14848" width="19" style="2" customWidth="1"/>
    <col min="14849" max="14871" width="0" style="2" hidden="1" customWidth="1"/>
    <col min="14872" max="14873" width="9.109375" style="2"/>
    <col min="14874" max="14874" width="10.44140625" style="2" bestFit="1" customWidth="1"/>
    <col min="14875" max="15080" width="9.109375" style="2"/>
    <col min="15081" max="15081" width="4.44140625" style="2" bestFit="1" customWidth="1"/>
    <col min="15082" max="15082" width="22.109375" style="2" customWidth="1"/>
    <col min="15083" max="15083" width="22" style="2" customWidth="1"/>
    <col min="15084" max="15085" width="0" style="2" hidden="1" customWidth="1"/>
    <col min="15086" max="15086" width="17" style="2" customWidth="1"/>
    <col min="15087" max="15087" width="9.109375" style="2"/>
    <col min="15088" max="15088" width="10.5546875" style="2" customWidth="1"/>
    <col min="15089" max="15089" width="15.33203125" style="2" customWidth="1"/>
    <col min="15090" max="15090" width="9.33203125" style="2" customWidth="1"/>
    <col min="15091" max="15091" width="9" style="2" customWidth="1"/>
    <col min="15092" max="15092" width="8.33203125" style="2" customWidth="1"/>
    <col min="15093" max="15093" width="11.88671875" style="2" customWidth="1"/>
    <col min="15094" max="15094" width="9.88671875" style="2" customWidth="1"/>
    <col min="15095" max="15095" width="8.109375" style="2" customWidth="1"/>
    <col min="15096" max="15096" width="9.88671875" style="2" customWidth="1"/>
    <col min="15097" max="15097" width="14.33203125" style="2" customWidth="1"/>
    <col min="15098" max="15098" width="15.33203125" style="2" customWidth="1"/>
    <col min="15099" max="15102" width="11.33203125" style="2" customWidth="1"/>
    <col min="15103" max="15103" width="19.109375" style="2" customWidth="1"/>
    <col min="15104" max="15104" width="19" style="2" customWidth="1"/>
    <col min="15105" max="15127" width="0" style="2" hidden="1" customWidth="1"/>
    <col min="15128" max="15129" width="9.109375" style="2"/>
    <col min="15130" max="15130" width="10.44140625" style="2" bestFit="1" customWidth="1"/>
    <col min="15131" max="15336" width="9.109375" style="2"/>
    <col min="15337" max="15337" width="4.44140625" style="2" bestFit="1" customWidth="1"/>
    <col min="15338" max="15338" width="22.109375" style="2" customWidth="1"/>
    <col min="15339" max="15339" width="22" style="2" customWidth="1"/>
    <col min="15340" max="15341" width="0" style="2" hidden="1" customWidth="1"/>
    <col min="15342" max="15342" width="17" style="2" customWidth="1"/>
    <col min="15343" max="15343" width="9.109375" style="2"/>
    <col min="15344" max="15344" width="10.5546875" style="2" customWidth="1"/>
    <col min="15345" max="15345" width="15.33203125" style="2" customWidth="1"/>
    <col min="15346" max="15346" width="9.33203125" style="2" customWidth="1"/>
    <col min="15347" max="15347" width="9" style="2" customWidth="1"/>
    <col min="15348" max="15348" width="8.33203125" style="2" customWidth="1"/>
    <col min="15349" max="15349" width="11.88671875" style="2" customWidth="1"/>
    <col min="15350" max="15350" width="9.88671875" style="2" customWidth="1"/>
    <col min="15351" max="15351" width="8.109375" style="2" customWidth="1"/>
    <col min="15352" max="15352" width="9.88671875" style="2" customWidth="1"/>
    <col min="15353" max="15353" width="14.33203125" style="2" customWidth="1"/>
    <col min="15354" max="15354" width="15.33203125" style="2" customWidth="1"/>
    <col min="15355" max="15358" width="11.33203125" style="2" customWidth="1"/>
    <col min="15359" max="15359" width="19.109375" style="2" customWidth="1"/>
    <col min="15360" max="15360" width="19" style="2" customWidth="1"/>
    <col min="15361" max="15383" width="0" style="2" hidden="1" customWidth="1"/>
    <col min="15384" max="15385" width="9.109375" style="2"/>
    <col min="15386" max="15386" width="10.44140625" style="2" bestFit="1" customWidth="1"/>
    <col min="15387" max="15592" width="9.109375" style="2"/>
    <col min="15593" max="15593" width="4.44140625" style="2" bestFit="1" customWidth="1"/>
    <col min="15594" max="15594" width="22.109375" style="2" customWidth="1"/>
    <col min="15595" max="15595" width="22" style="2" customWidth="1"/>
    <col min="15596" max="15597" width="0" style="2" hidden="1" customWidth="1"/>
    <col min="15598" max="15598" width="17" style="2" customWidth="1"/>
    <col min="15599" max="15599" width="9.109375" style="2"/>
    <col min="15600" max="15600" width="10.5546875" style="2" customWidth="1"/>
    <col min="15601" max="15601" width="15.33203125" style="2" customWidth="1"/>
    <col min="15602" max="15602" width="9.33203125" style="2" customWidth="1"/>
    <col min="15603" max="15603" width="9" style="2" customWidth="1"/>
    <col min="15604" max="15604" width="8.33203125" style="2" customWidth="1"/>
    <col min="15605" max="15605" width="11.88671875" style="2" customWidth="1"/>
    <col min="15606" max="15606" width="9.88671875" style="2" customWidth="1"/>
    <col min="15607" max="15607" width="8.109375" style="2" customWidth="1"/>
    <col min="15608" max="15608" width="9.88671875" style="2" customWidth="1"/>
    <col min="15609" max="15609" width="14.33203125" style="2" customWidth="1"/>
    <col min="15610" max="15610" width="15.33203125" style="2" customWidth="1"/>
    <col min="15611" max="15614" width="11.33203125" style="2" customWidth="1"/>
    <col min="15615" max="15615" width="19.109375" style="2" customWidth="1"/>
    <col min="15616" max="15616" width="19" style="2" customWidth="1"/>
    <col min="15617" max="15639" width="0" style="2" hidden="1" customWidth="1"/>
    <col min="15640" max="15641" width="9.109375" style="2"/>
    <col min="15642" max="15642" width="10.44140625" style="2" bestFit="1" customWidth="1"/>
    <col min="15643" max="15848" width="9.109375" style="2"/>
    <col min="15849" max="15849" width="4.44140625" style="2" bestFit="1" customWidth="1"/>
    <col min="15850" max="15850" width="22.109375" style="2" customWidth="1"/>
    <col min="15851" max="15851" width="22" style="2" customWidth="1"/>
    <col min="15852" max="15853" width="0" style="2" hidden="1" customWidth="1"/>
    <col min="15854" max="15854" width="17" style="2" customWidth="1"/>
    <col min="15855" max="15855" width="9.109375" style="2"/>
    <col min="15856" max="15856" width="10.5546875" style="2" customWidth="1"/>
    <col min="15857" max="15857" width="15.33203125" style="2" customWidth="1"/>
    <col min="15858" max="15858" width="9.33203125" style="2" customWidth="1"/>
    <col min="15859" max="15859" width="9" style="2" customWidth="1"/>
    <col min="15860" max="15860" width="8.33203125" style="2" customWidth="1"/>
    <col min="15861" max="15861" width="11.88671875" style="2" customWidth="1"/>
    <col min="15862" max="15862" width="9.88671875" style="2" customWidth="1"/>
    <col min="15863" max="15863" width="8.109375" style="2" customWidth="1"/>
    <col min="15864" max="15864" width="9.88671875" style="2" customWidth="1"/>
    <col min="15865" max="15865" width="14.33203125" style="2" customWidth="1"/>
    <col min="15866" max="15866" width="15.33203125" style="2" customWidth="1"/>
    <col min="15867" max="15870" width="11.33203125" style="2" customWidth="1"/>
    <col min="15871" max="15871" width="19.109375" style="2" customWidth="1"/>
    <col min="15872" max="15872" width="19" style="2" customWidth="1"/>
    <col min="15873" max="15895" width="0" style="2" hidden="1" customWidth="1"/>
    <col min="15896" max="15897" width="9.109375" style="2"/>
    <col min="15898" max="15898" width="10.44140625" style="2" bestFit="1" customWidth="1"/>
    <col min="15899" max="16104" width="9.109375" style="2"/>
    <col min="16105" max="16105" width="4.44140625" style="2" bestFit="1" customWidth="1"/>
    <col min="16106" max="16106" width="22.109375" style="2" customWidth="1"/>
    <col min="16107" max="16107" width="22" style="2" customWidth="1"/>
    <col min="16108" max="16109" width="0" style="2" hidden="1" customWidth="1"/>
    <col min="16110" max="16110" width="17" style="2" customWidth="1"/>
    <col min="16111" max="16111" width="9.109375" style="2"/>
    <col min="16112" max="16112" width="10.5546875" style="2" customWidth="1"/>
    <col min="16113" max="16113" width="15.33203125" style="2" customWidth="1"/>
    <col min="16114" max="16114" width="9.33203125" style="2" customWidth="1"/>
    <col min="16115" max="16115" width="9" style="2" customWidth="1"/>
    <col min="16116" max="16116" width="8.33203125" style="2" customWidth="1"/>
    <col min="16117" max="16117" width="11.88671875" style="2" customWidth="1"/>
    <col min="16118" max="16118" width="9.88671875" style="2" customWidth="1"/>
    <col min="16119" max="16119" width="8.109375" style="2" customWidth="1"/>
    <col min="16120" max="16120" width="9.88671875" style="2" customWidth="1"/>
    <col min="16121" max="16121" width="14.33203125" style="2" customWidth="1"/>
    <col min="16122" max="16122" width="15.33203125" style="2" customWidth="1"/>
    <col min="16123" max="16126" width="11.33203125" style="2" customWidth="1"/>
    <col min="16127" max="16127" width="19.109375" style="2" customWidth="1"/>
    <col min="16128" max="16128" width="19" style="2" customWidth="1"/>
    <col min="16129" max="16151" width="0" style="2" hidden="1" customWidth="1"/>
    <col min="16152" max="16153" width="9.109375" style="2"/>
    <col min="16154" max="16154" width="10.44140625" style="2" bestFit="1" customWidth="1"/>
    <col min="16155" max="16384" width="9.109375" style="2"/>
  </cols>
  <sheetData>
    <row r="1" spans="1:23" ht="27" customHeight="1">
      <c r="A1" s="436" t="s">
        <v>21</v>
      </c>
      <c r="B1" s="436" t="s">
        <v>183</v>
      </c>
      <c r="C1" s="436" t="s">
        <v>111</v>
      </c>
      <c r="D1" s="436" t="s">
        <v>112</v>
      </c>
      <c r="E1" s="442" t="s">
        <v>82</v>
      </c>
      <c r="F1" s="440"/>
      <c r="G1" s="440"/>
      <c r="H1" s="440"/>
      <c r="I1" s="440"/>
      <c r="J1" s="440"/>
      <c r="K1" s="441"/>
      <c r="L1" s="199" t="s">
        <v>184</v>
      </c>
      <c r="M1" s="199" t="s">
        <v>13</v>
      </c>
      <c r="N1" s="199" t="s">
        <v>185</v>
      </c>
      <c r="O1" s="436" t="s">
        <v>191</v>
      </c>
      <c r="P1" s="436" t="s">
        <v>189</v>
      </c>
      <c r="Q1" s="132" t="s">
        <v>19</v>
      </c>
      <c r="R1" s="132"/>
      <c r="S1" s="45" t="s">
        <v>14</v>
      </c>
      <c r="T1" s="45" t="s">
        <v>84</v>
      </c>
      <c r="U1" s="45" t="s">
        <v>85</v>
      </c>
      <c r="V1" s="64" t="s">
        <v>86</v>
      </c>
      <c r="W1" s="64" t="s">
        <v>87</v>
      </c>
    </row>
    <row r="2" spans="1:23" ht="33" customHeight="1">
      <c r="A2" s="437"/>
      <c r="B2" s="437"/>
      <c r="C2" s="437"/>
      <c r="D2" s="437"/>
      <c r="E2" s="132" t="s">
        <v>89</v>
      </c>
      <c r="F2" s="132" t="s">
        <v>90</v>
      </c>
      <c r="G2" s="132" t="s">
        <v>108</v>
      </c>
      <c r="H2" s="132" t="s">
        <v>91</v>
      </c>
      <c r="I2" s="132" t="s">
        <v>83</v>
      </c>
      <c r="J2" s="132" t="s">
        <v>20</v>
      </c>
      <c r="K2" s="132" t="s">
        <v>113</v>
      </c>
      <c r="L2" s="132" t="s">
        <v>30</v>
      </c>
      <c r="M2" s="132" t="s">
        <v>187</v>
      </c>
      <c r="N2" s="132" t="s">
        <v>186</v>
      </c>
      <c r="O2" s="437"/>
      <c r="P2" s="437"/>
      <c r="Q2" s="132" t="s">
        <v>119</v>
      </c>
      <c r="R2" s="132" t="s">
        <v>123</v>
      </c>
      <c r="S2" s="45" t="s">
        <v>92</v>
      </c>
      <c r="T2" s="45" t="s">
        <v>3</v>
      </c>
      <c r="U2" s="45" t="s">
        <v>93</v>
      </c>
      <c r="V2" s="64" t="s">
        <v>1</v>
      </c>
      <c r="W2" s="64" t="s">
        <v>3</v>
      </c>
    </row>
    <row r="3" spans="1:23" ht="20.25" customHeight="1">
      <c r="A3" s="120">
        <v>1</v>
      </c>
      <c r="B3" s="198" t="s">
        <v>287</v>
      </c>
      <c r="C3" s="120" t="s">
        <v>288</v>
      </c>
      <c r="D3" s="121"/>
      <c r="E3" s="120" t="s">
        <v>117</v>
      </c>
      <c r="F3" s="120">
        <v>1977</v>
      </c>
      <c r="G3" s="120">
        <v>90</v>
      </c>
      <c r="H3" s="120" t="s">
        <v>115</v>
      </c>
      <c r="I3" s="75">
        <v>4.5</v>
      </c>
      <c r="J3" s="71" t="s">
        <v>3</v>
      </c>
      <c r="K3" s="120" t="s">
        <v>118</v>
      </c>
      <c r="L3" s="198">
        <v>1</v>
      </c>
      <c r="M3" s="198" t="s">
        <v>188</v>
      </c>
      <c r="N3" s="198">
        <v>300</v>
      </c>
      <c r="O3" s="198" t="s">
        <v>194</v>
      </c>
      <c r="P3" s="198" t="s">
        <v>195</v>
      </c>
      <c r="Q3" s="120">
        <v>3000</v>
      </c>
      <c r="R3" s="120">
        <f>IF(H3="gaz ziemny",'Wskaźniki emisji 2015r'!$B$22,0)</f>
        <v>0</v>
      </c>
      <c r="S3" s="4">
        <f>IF(H3="węgiel kamienny",'Wskaźniki emisji 2015r'!$B$8,IF(H3="gaz ziemny",'Wskaźniki emisji 2015r'!$B$9,IF(H3="drewno opałowe",'Wskaźniki emisji 2015r'!$B$11,IF(H3="olej opałowy",'Wskaźniki emisji 2015r'!$B$10,))))</f>
        <v>7.3377300000000005</v>
      </c>
      <c r="T3" s="3">
        <f>IF(R3=0,I3,I3*R3/1000)</f>
        <v>4.5</v>
      </c>
      <c r="U3" s="3">
        <f>IF(H3="węgiel kamienny",'Wskaźniki emisji 2015r'!$D$8,IF(H3="gaz ziemny",'Wskaźniki emisji 2015r'!$D$9,IF(H3="olej opałowy",'Wskaźniki emisji 2015r'!$D$10,IF(H3="drewno opałowe",'Wskaźniki emisji 2015r'!$D$11,IF(H3="energia elektryczna",'Wskaźniki emisji 2015r'!$D$15)))))</f>
        <v>0.33920577617328518</v>
      </c>
      <c r="V3" s="5">
        <f>S3*T3</f>
        <v>33.019784999999999</v>
      </c>
      <c r="W3" s="5">
        <f>V3*U3</f>
        <v>11.2005018</v>
      </c>
    </row>
    <row r="4" spans="1:23" ht="20.25" customHeight="1">
      <c r="A4" s="198"/>
      <c r="B4" s="198"/>
      <c r="C4" s="198"/>
      <c r="D4" s="303"/>
      <c r="E4" s="198"/>
      <c r="F4" s="198"/>
      <c r="G4" s="198"/>
      <c r="H4" s="198"/>
      <c r="I4" s="75"/>
      <c r="J4" s="71"/>
      <c r="K4" s="198"/>
      <c r="L4" s="198"/>
      <c r="M4" s="198"/>
      <c r="N4" s="198"/>
      <c r="O4" s="198" t="s">
        <v>190</v>
      </c>
      <c r="P4" s="198"/>
      <c r="Q4" s="198"/>
      <c r="R4" s="198"/>
      <c r="S4" s="4">
        <f>IF(H4="węgiel kamienny",'Wskaźniki emisji 2015r'!$B$8,IF(H4="gaz ziemny",'Wskaźniki emisji 2015r'!$B$9,IF(H4="drewno opałowe",'Wskaźniki emisji 2015r'!$B$11,IF(H4="olej opałowy",'Wskaźniki emisji 2015r'!$B$10,))))</f>
        <v>0</v>
      </c>
      <c r="T4" s="3">
        <f t="shared" ref="T4:T67" si="0">IF(R4=0,I4,I4*R4/1000)</f>
        <v>0</v>
      </c>
      <c r="U4" s="3" t="b">
        <f>IF(H4="węgiel kamienny",'Wskaźniki emisji 2015r'!$D$8,IF(H4="gaz ziemny",'Wskaźniki emisji 2015r'!$D$9,IF(H4="olej opałowy",'Wskaźniki emisji 2015r'!$D$10,IF(H4="drewno opałowe",'Wskaźniki emisji 2015r'!$D$11,IF(H4="energia elektryczna",'Wskaźniki emisji 2015r'!$D$15)))))</f>
        <v>0</v>
      </c>
      <c r="V4" s="5">
        <f t="shared" ref="V4:V67" si="1">S4*T4</f>
        <v>0</v>
      </c>
      <c r="W4" s="5">
        <f t="shared" ref="W4:W67" si="2">V4*U4</f>
        <v>0</v>
      </c>
    </row>
    <row r="5" spans="1:23" ht="21.75" customHeight="1">
      <c r="A5" s="120">
        <v>2</v>
      </c>
      <c r="B5" s="198" t="s">
        <v>287</v>
      </c>
      <c r="C5" s="120" t="s">
        <v>288</v>
      </c>
      <c r="D5" s="121"/>
      <c r="E5" s="120" t="s">
        <v>117</v>
      </c>
      <c r="F5" s="120">
        <v>1939</v>
      </c>
      <c r="G5" s="120">
        <v>60</v>
      </c>
      <c r="H5" s="120" t="s">
        <v>115</v>
      </c>
      <c r="I5" s="120">
        <v>7</v>
      </c>
      <c r="J5" s="120" t="s">
        <v>3</v>
      </c>
      <c r="K5" s="120" t="s">
        <v>118</v>
      </c>
      <c r="L5" s="198">
        <v>1</v>
      </c>
      <c r="M5" s="198" t="s">
        <v>192</v>
      </c>
      <c r="N5" s="198">
        <v>300</v>
      </c>
      <c r="O5" s="198" t="s">
        <v>194</v>
      </c>
      <c r="P5" s="198" t="s">
        <v>289</v>
      </c>
      <c r="Q5" s="120">
        <v>2400</v>
      </c>
      <c r="R5" s="198">
        <f>IF(H5="gaz ziemny",'Wskaźniki emisji 2015r'!$B$22,0)</f>
        <v>0</v>
      </c>
      <c r="S5" s="4">
        <f>IF(H5="węgiel kamienny",'Wskaźniki emisji 2015r'!$B$8,IF(H5="gaz ziemny",'Wskaźniki emisji 2015r'!$B$9,IF(H5="drewno opałowe",'Wskaźniki emisji 2015r'!$B$11,IF(H5="olej opałowy",'Wskaźniki emisji 2015r'!$B$10,))))</f>
        <v>7.3377300000000005</v>
      </c>
      <c r="T5" s="3">
        <f t="shared" si="0"/>
        <v>7</v>
      </c>
      <c r="U5" s="3">
        <f>IF(H5="węgiel kamienny",'Wskaźniki emisji 2015r'!$D$8,IF(H5="gaz ziemny",'Wskaźniki emisji 2015r'!$D$9,IF(H5="olej opałowy",'Wskaźniki emisji 2015r'!$D$10,IF(H5="drewno opałowe",'Wskaźniki emisji 2015r'!$D$11,IF(H5="energia elektryczna",'Wskaźniki emisji 2015r'!$D$15)))))</f>
        <v>0.33920577617328518</v>
      </c>
      <c r="V5" s="5">
        <f t="shared" si="1"/>
        <v>51.364110000000004</v>
      </c>
      <c r="W5" s="5">
        <f t="shared" si="2"/>
        <v>17.423002799999999</v>
      </c>
    </row>
    <row r="6" spans="1:23" ht="21.75" customHeight="1">
      <c r="A6" s="198"/>
      <c r="B6" s="198"/>
      <c r="C6" s="198"/>
      <c r="D6" s="303"/>
      <c r="E6" s="198"/>
      <c r="F6" s="198"/>
      <c r="G6" s="198"/>
      <c r="H6" s="198"/>
      <c r="I6" s="198"/>
      <c r="J6" s="198"/>
      <c r="K6" s="198"/>
      <c r="L6" s="198"/>
      <c r="M6" s="198"/>
      <c r="N6" s="198"/>
      <c r="O6" s="198" t="s">
        <v>190</v>
      </c>
      <c r="P6" s="198"/>
      <c r="Q6" s="198"/>
      <c r="R6" s="198"/>
      <c r="S6" s="4">
        <f>IF(H6="węgiel kamienny",'Wskaźniki emisji 2015r'!$B$8,IF(H6="gaz ziemny",'Wskaźniki emisji 2015r'!$B$9,IF(H6="drewno opałowe",'Wskaźniki emisji 2015r'!$B$11,IF(H6="olej opałowy",'Wskaźniki emisji 2015r'!$B$10,))))</f>
        <v>0</v>
      </c>
      <c r="T6" s="3">
        <f t="shared" si="0"/>
        <v>0</v>
      </c>
      <c r="U6" s="3" t="b">
        <f>IF(H6="węgiel kamienny",'Wskaźniki emisji 2015r'!$D$8,IF(H6="gaz ziemny",'Wskaźniki emisji 2015r'!$D$9,IF(H6="olej opałowy",'Wskaźniki emisji 2015r'!$D$10,IF(H6="drewno opałowe",'Wskaźniki emisji 2015r'!$D$11,IF(H6="energia elektryczna",'Wskaźniki emisji 2015r'!$D$15)))))</f>
        <v>0</v>
      </c>
      <c r="V6" s="5">
        <f t="shared" si="1"/>
        <v>0</v>
      </c>
      <c r="W6" s="5">
        <f t="shared" si="2"/>
        <v>0</v>
      </c>
    </row>
    <row r="7" spans="1:23" ht="20.399999999999999">
      <c r="A7" s="120">
        <v>3</v>
      </c>
      <c r="B7" s="332" t="s">
        <v>287</v>
      </c>
      <c r="C7" s="198" t="s">
        <v>290</v>
      </c>
      <c r="D7" s="121"/>
      <c r="E7" s="120" t="s">
        <v>117</v>
      </c>
      <c r="F7" s="120">
        <v>2007</v>
      </c>
      <c r="G7" s="120">
        <v>130</v>
      </c>
      <c r="H7" s="120" t="s">
        <v>114</v>
      </c>
      <c r="I7" s="120"/>
      <c r="J7" s="120" t="s">
        <v>3</v>
      </c>
      <c r="K7" s="120" t="s">
        <v>118</v>
      </c>
      <c r="L7" s="198">
        <v>2</v>
      </c>
      <c r="M7" s="198" t="s">
        <v>188</v>
      </c>
      <c r="N7" s="198">
        <v>1500</v>
      </c>
      <c r="O7" s="198"/>
      <c r="P7" s="198"/>
      <c r="Q7" s="120"/>
      <c r="R7" s="198">
        <f>IF(H7="gaz ziemny",'Wskaźniki emisji 2015r'!$B$22,0)</f>
        <v>0.71599999999999997</v>
      </c>
      <c r="S7" s="4">
        <f>IF(H7="węgiel kamienny",'Wskaźniki emisji 2015r'!$B$8,IF(H7="gaz ziemny",'Wskaźniki emisji 2015r'!$B$9,IF(H7="drewno opałowe",'Wskaźniki emisji 2015r'!$B$11,IF(H7="olej opałowy",'Wskaźniki emisji 2015r'!$B$10,))))</f>
        <v>13.296000000000001</v>
      </c>
      <c r="T7" s="3">
        <f t="shared" si="0"/>
        <v>0</v>
      </c>
      <c r="U7" s="3">
        <f>IF(H7="węgiel kamienny",'Wskaźniki emisji 2015r'!$D$8,IF(H7="gaz ziemny",'Wskaźniki emisji 2015r'!$D$9,IF(H7="olej opałowy",'Wskaźniki emisji 2015r'!$D$10,IF(H7="drewno opałowe",'Wskaźniki emisji 2015r'!$D$11,IF(H7="energia elektryczna",'Wskaźniki emisji 2015r'!$D$15)))))</f>
        <v>0.2015162454873646</v>
      </c>
      <c r="V7" s="5">
        <f t="shared" si="1"/>
        <v>0</v>
      </c>
      <c r="W7" s="5">
        <f t="shared" si="2"/>
        <v>0</v>
      </c>
    </row>
    <row r="8" spans="1:23" ht="20.399999999999999">
      <c r="A8" s="120">
        <v>4</v>
      </c>
      <c r="B8" s="198" t="s">
        <v>287</v>
      </c>
      <c r="C8" s="120" t="s">
        <v>288</v>
      </c>
      <c r="D8" s="121"/>
      <c r="E8" s="120" t="s">
        <v>117</v>
      </c>
      <c r="F8" s="120">
        <v>1935</v>
      </c>
      <c r="G8" s="120">
        <v>70</v>
      </c>
      <c r="H8" s="120" t="s">
        <v>114</v>
      </c>
      <c r="I8" s="120"/>
      <c r="J8" s="120" t="s">
        <v>3</v>
      </c>
      <c r="K8" s="120" t="s">
        <v>118</v>
      </c>
      <c r="L8" s="198">
        <v>1</v>
      </c>
      <c r="M8" s="198" t="s">
        <v>192</v>
      </c>
      <c r="N8" s="198"/>
      <c r="O8" s="198" t="s">
        <v>194</v>
      </c>
      <c r="P8" s="198"/>
      <c r="Q8" s="120"/>
      <c r="R8" s="198">
        <f>IF(H8="gaz ziemny",'Wskaźniki emisji 2015r'!$B$22,0)</f>
        <v>0.71599999999999997</v>
      </c>
      <c r="S8" s="4">
        <f>IF(H8="węgiel kamienny",'Wskaźniki emisji 2015r'!$B$8,IF(H8="gaz ziemny",'Wskaźniki emisji 2015r'!$B$9,IF(H8="drewno opałowe",'Wskaźniki emisji 2015r'!$B$11,IF(H8="olej opałowy",'Wskaźniki emisji 2015r'!$B$10,))))</f>
        <v>13.296000000000001</v>
      </c>
      <c r="T8" s="3">
        <f t="shared" si="0"/>
        <v>0</v>
      </c>
      <c r="U8" s="3">
        <f>IF(H8="węgiel kamienny",'Wskaźniki emisji 2015r'!$D$8,IF(H8="gaz ziemny",'Wskaźniki emisji 2015r'!$D$9,IF(H8="olej opałowy",'Wskaźniki emisji 2015r'!$D$10,IF(H8="drewno opałowe",'Wskaźniki emisji 2015r'!$D$11,IF(H8="energia elektryczna",'Wskaźniki emisji 2015r'!$D$15)))))</f>
        <v>0.2015162454873646</v>
      </c>
      <c r="V8" s="5">
        <f t="shared" si="1"/>
        <v>0</v>
      </c>
      <c r="W8" s="5">
        <f t="shared" si="2"/>
        <v>0</v>
      </c>
    </row>
    <row r="9" spans="1:23">
      <c r="A9" s="198"/>
      <c r="B9" s="198"/>
      <c r="C9" s="198"/>
      <c r="D9" s="303"/>
      <c r="E9" s="198"/>
      <c r="F9" s="198"/>
      <c r="G9" s="198"/>
      <c r="H9" s="198"/>
      <c r="I9" s="198"/>
      <c r="J9" s="198"/>
      <c r="K9" s="198"/>
      <c r="L9" s="198"/>
      <c r="M9" s="198"/>
      <c r="N9" s="198"/>
      <c r="O9" s="198" t="s">
        <v>190</v>
      </c>
      <c r="P9" s="198"/>
      <c r="Q9" s="198"/>
      <c r="R9" s="198"/>
      <c r="S9" s="4">
        <f>IF(H9="węgiel kamienny",'Wskaźniki emisji 2015r'!$B$8,IF(H9="gaz ziemny",'Wskaźniki emisji 2015r'!$B$9,IF(H9="drewno opałowe",'Wskaźniki emisji 2015r'!$B$11,IF(H9="olej opałowy",'Wskaźniki emisji 2015r'!$B$10,))))</f>
        <v>0</v>
      </c>
      <c r="T9" s="3">
        <f t="shared" si="0"/>
        <v>0</v>
      </c>
      <c r="U9" s="3" t="b">
        <f>IF(H9="węgiel kamienny",'Wskaźniki emisji 2015r'!$D$8,IF(H9="gaz ziemny",'Wskaźniki emisji 2015r'!$D$9,IF(H9="olej opałowy",'Wskaźniki emisji 2015r'!$D$10,IF(H9="drewno opałowe",'Wskaźniki emisji 2015r'!$D$11,IF(H9="energia elektryczna",'Wskaźniki emisji 2015r'!$D$15)))))</f>
        <v>0</v>
      </c>
      <c r="V9" s="5">
        <f t="shared" si="1"/>
        <v>0</v>
      </c>
      <c r="W9" s="5">
        <f t="shared" si="2"/>
        <v>0</v>
      </c>
    </row>
    <row r="10" spans="1:23">
      <c r="A10" s="120">
        <v>5</v>
      </c>
      <c r="B10" s="198" t="s">
        <v>291</v>
      </c>
      <c r="C10" s="120" t="s">
        <v>292</v>
      </c>
      <c r="D10" s="121"/>
      <c r="E10" s="120" t="s">
        <v>293</v>
      </c>
      <c r="F10" s="120">
        <v>1983</v>
      </c>
      <c r="G10" s="120">
        <v>220</v>
      </c>
      <c r="H10" s="120" t="s">
        <v>115</v>
      </c>
      <c r="I10" s="120">
        <v>7</v>
      </c>
      <c r="J10" s="120" t="s">
        <v>3</v>
      </c>
      <c r="K10" s="120" t="s">
        <v>118</v>
      </c>
      <c r="L10" s="198">
        <v>1</v>
      </c>
      <c r="M10" s="198" t="s">
        <v>192</v>
      </c>
      <c r="N10" s="198">
        <v>400</v>
      </c>
      <c r="O10" s="198" t="s">
        <v>190</v>
      </c>
      <c r="P10" s="198"/>
      <c r="Q10" s="120"/>
      <c r="R10" s="198">
        <f>IF(H10="gaz ziemny",'Wskaźniki emisji 2015r'!$B$22,0)</f>
        <v>0</v>
      </c>
      <c r="S10" s="4">
        <f>IF(H10="węgiel kamienny",'Wskaźniki emisji 2015r'!$B$8,IF(H10="gaz ziemny",'Wskaźniki emisji 2015r'!$B$9,IF(H10="drewno opałowe",'Wskaźniki emisji 2015r'!$B$11,IF(H10="olej opałowy",'Wskaźniki emisji 2015r'!$B$10,))))</f>
        <v>7.3377300000000005</v>
      </c>
      <c r="T10" s="3">
        <f t="shared" si="0"/>
        <v>7</v>
      </c>
      <c r="U10" s="3">
        <f>IF(H10="węgiel kamienny",'Wskaźniki emisji 2015r'!$D$8,IF(H10="gaz ziemny",'Wskaźniki emisji 2015r'!$D$9,IF(H10="olej opałowy",'Wskaźniki emisji 2015r'!$D$10,IF(H10="drewno opałowe",'Wskaźniki emisji 2015r'!$D$11,IF(H10="energia elektryczna",'Wskaźniki emisji 2015r'!$D$15)))))</f>
        <v>0.33920577617328518</v>
      </c>
      <c r="V10" s="5">
        <f t="shared" si="1"/>
        <v>51.364110000000004</v>
      </c>
      <c r="W10" s="5">
        <f t="shared" si="2"/>
        <v>17.423002799999999</v>
      </c>
    </row>
    <row r="11" spans="1:23">
      <c r="A11" s="198"/>
      <c r="B11" s="198"/>
      <c r="C11" s="198"/>
      <c r="D11" s="303"/>
      <c r="E11" s="198"/>
      <c r="F11" s="198"/>
      <c r="G11" s="198"/>
      <c r="H11" s="198"/>
      <c r="I11" s="198"/>
      <c r="J11" s="198"/>
      <c r="K11" s="198"/>
      <c r="L11" s="198"/>
      <c r="M11" s="198"/>
      <c r="N11" s="198"/>
      <c r="O11" s="198" t="s">
        <v>289</v>
      </c>
      <c r="P11" s="198"/>
      <c r="Q11" s="198"/>
      <c r="R11" s="198"/>
      <c r="S11" s="4">
        <f>IF(H11="węgiel kamienny",'Wskaźniki emisji 2015r'!$B$8,IF(H11="gaz ziemny",'Wskaźniki emisji 2015r'!$B$9,IF(H11="drewno opałowe",'Wskaźniki emisji 2015r'!$B$11,IF(H11="olej opałowy",'Wskaźniki emisji 2015r'!$B$10,))))</f>
        <v>0</v>
      </c>
      <c r="T11" s="3">
        <f t="shared" si="0"/>
        <v>0</v>
      </c>
      <c r="U11" s="3" t="b">
        <f>IF(H11="węgiel kamienny",'Wskaźniki emisji 2015r'!$D$8,IF(H11="gaz ziemny",'Wskaźniki emisji 2015r'!$D$9,IF(H11="olej opałowy",'Wskaźniki emisji 2015r'!$D$10,IF(H11="drewno opałowe",'Wskaźniki emisji 2015r'!$D$11,IF(H11="energia elektryczna",'Wskaźniki emisji 2015r'!$D$15)))))</f>
        <v>0</v>
      </c>
      <c r="V11" s="5">
        <f t="shared" si="1"/>
        <v>0</v>
      </c>
      <c r="W11" s="5">
        <f t="shared" si="2"/>
        <v>0</v>
      </c>
    </row>
    <row r="12" spans="1:23" ht="20.399999999999999">
      <c r="A12" s="120">
        <v>6</v>
      </c>
      <c r="B12" s="198" t="s">
        <v>291</v>
      </c>
      <c r="C12" s="198" t="s">
        <v>294</v>
      </c>
      <c r="D12" s="196"/>
      <c r="E12" s="120" t="s">
        <v>295</v>
      </c>
      <c r="F12" s="120">
        <v>1950</v>
      </c>
      <c r="G12" s="120">
        <v>150</v>
      </c>
      <c r="H12" s="120" t="s">
        <v>115</v>
      </c>
      <c r="I12" s="120">
        <v>10</v>
      </c>
      <c r="J12" s="120" t="s">
        <v>3</v>
      </c>
      <c r="K12" s="120" t="s">
        <v>118</v>
      </c>
      <c r="L12" s="198">
        <v>1</v>
      </c>
      <c r="M12" s="198" t="s">
        <v>192</v>
      </c>
      <c r="N12" s="198">
        <v>400</v>
      </c>
      <c r="O12" s="198" t="s">
        <v>190</v>
      </c>
      <c r="P12" s="198" t="s">
        <v>194</v>
      </c>
      <c r="Q12" s="120">
        <v>2000</v>
      </c>
      <c r="R12" s="198">
        <f>IF(H12="gaz ziemny",'Wskaźniki emisji 2015r'!$B$22,0)</f>
        <v>0</v>
      </c>
      <c r="S12" s="4">
        <f>IF(H12="węgiel kamienny",'Wskaźniki emisji 2015r'!$B$8,IF(H12="gaz ziemny",'Wskaźniki emisji 2015r'!$B$9,IF(H12="drewno opałowe",'Wskaźniki emisji 2015r'!$B$11,IF(H12="olej opałowy",'Wskaźniki emisji 2015r'!$B$10,))))</f>
        <v>7.3377300000000005</v>
      </c>
      <c r="T12" s="3">
        <f t="shared" si="0"/>
        <v>10</v>
      </c>
      <c r="U12" s="3">
        <f>IF(H12="węgiel kamienny",'Wskaźniki emisji 2015r'!$D$8,IF(H12="gaz ziemny",'Wskaźniki emisji 2015r'!$D$9,IF(H12="olej opałowy",'Wskaźniki emisji 2015r'!$D$10,IF(H12="drewno opałowe",'Wskaźniki emisji 2015r'!$D$11,IF(H12="energia elektryczna",'Wskaźniki emisji 2015r'!$D$15)))))</f>
        <v>0.33920577617328518</v>
      </c>
      <c r="V12" s="5">
        <f t="shared" si="1"/>
        <v>73.377300000000005</v>
      </c>
      <c r="W12" s="5">
        <f t="shared" si="2"/>
        <v>24.890004000000001</v>
      </c>
    </row>
    <row r="13" spans="1:23" ht="20.399999999999999">
      <c r="A13" s="120">
        <v>7</v>
      </c>
      <c r="B13" s="198" t="s">
        <v>287</v>
      </c>
      <c r="C13" s="198" t="s">
        <v>295</v>
      </c>
      <c r="D13" s="196"/>
      <c r="E13" s="198" t="s">
        <v>117</v>
      </c>
      <c r="F13" s="120">
        <v>1985</v>
      </c>
      <c r="G13" s="120">
        <v>190</v>
      </c>
      <c r="H13" s="120" t="s">
        <v>115</v>
      </c>
      <c r="I13" s="120">
        <v>10</v>
      </c>
      <c r="J13" s="120" t="s">
        <v>3</v>
      </c>
      <c r="K13" s="120" t="s">
        <v>118</v>
      </c>
      <c r="L13" s="198">
        <v>1</v>
      </c>
      <c r="M13" s="198" t="s">
        <v>188</v>
      </c>
      <c r="N13" s="198">
        <v>1000</v>
      </c>
      <c r="O13" s="198" t="s">
        <v>190</v>
      </c>
      <c r="P13" s="198" t="s">
        <v>194</v>
      </c>
      <c r="Q13" s="120">
        <v>2400</v>
      </c>
      <c r="R13" s="198">
        <f>IF(H13="gaz ziemny",'Wskaźniki emisji 2015r'!$B$22,0)</f>
        <v>0</v>
      </c>
      <c r="S13" s="4">
        <f>IF(H13="węgiel kamienny",'Wskaźniki emisji 2015r'!$B$8,IF(H13="gaz ziemny",'Wskaźniki emisji 2015r'!$B$9,IF(H13="drewno opałowe",'Wskaźniki emisji 2015r'!$B$11,IF(H13="olej opałowy",'Wskaźniki emisji 2015r'!$B$10,))))</f>
        <v>7.3377300000000005</v>
      </c>
      <c r="T13" s="3">
        <f t="shared" si="0"/>
        <v>10</v>
      </c>
      <c r="U13" s="3">
        <f>IF(H13="węgiel kamienny",'Wskaźniki emisji 2015r'!$D$8,IF(H13="gaz ziemny",'Wskaźniki emisji 2015r'!$D$9,IF(H13="olej opałowy",'Wskaźniki emisji 2015r'!$D$10,IF(H13="drewno opałowe",'Wskaźniki emisji 2015r'!$D$11,IF(H13="energia elektryczna",'Wskaźniki emisji 2015r'!$D$15)))))</f>
        <v>0.33920577617328518</v>
      </c>
      <c r="V13" s="5">
        <f t="shared" si="1"/>
        <v>73.377300000000005</v>
      </c>
      <c r="W13" s="5">
        <f t="shared" si="2"/>
        <v>24.890004000000001</v>
      </c>
    </row>
    <row r="14" spans="1:23">
      <c r="A14" s="304"/>
      <c r="B14" s="198"/>
      <c r="C14" s="198"/>
      <c r="D14" s="303"/>
      <c r="E14" s="198"/>
      <c r="F14" s="198"/>
      <c r="G14" s="198"/>
      <c r="H14" s="198"/>
      <c r="I14" s="198"/>
      <c r="J14" s="198"/>
      <c r="K14" s="198"/>
      <c r="L14" s="198"/>
      <c r="M14" s="198"/>
      <c r="N14" s="198"/>
      <c r="O14" s="198" t="s">
        <v>289</v>
      </c>
      <c r="P14" s="198"/>
      <c r="Q14" s="198"/>
      <c r="R14" s="198"/>
      <c r="S14" s="4">
        <f>IF(H14="węgiel kamienny",'Wskaźniki emisji 2015r'!$B$8,IF(H14="gaz ziemny",'Wskaźniki emisji 2015r'!$B$9,IF(H14="drewno opałowe",'Wskaźniki emisji 2015r'!$B$11,IF(H14="olej opałowy",'Wskaźniki emisji 2015r'!$B$10,))))</f>
        <v>0</v>
      </c>
      <c r="T14" s="3">
        <f t="shared" si="0"/>
        <v>0</v>
      </c>
      <c r="U14" s="3" t="b">
        <f>IF(H14="węgiel kamienny",'Wskaźniki emisji 2015r'!$D$8,IF(H14="gaz ziemny",'Wskaźniki emisji 2015r'!$D$9,IF(H14="olej opałowy",'Wskaźniki emisji 2015r'!$D$10,IF(H14="drewno opałowe",'Wskaźniki emisji 2015r'!$D$11,IF(H14="energia elektryczna",'Wskaźniki emisji 2015r'!$D$15)))))</f>
        <v>0</v>
      </c>
      <c r="V14" s="5">
        <f t="shared" si="1"/>
        <v>0</v>
      </c>
      <c r="W14" s="5">
        <f t="shared" si="2"/>
        <v>0</v>
      </c>
    </row>
    <row r="15" spans="1:23" ht="22.5" customHeight="1">
      <c r="A15" s="438">
        <v>8</v>
      </c>
      <c r="B15" s="198" t="s">
        <v>296</v>
      </c>
      <c r="C15" s="120" t="s">
        <v>295</v>
      </c>
      <c r="D15" s="121"/>
      <c r="E15" s="120" t="s">
        <v>295</v>
      </c>
      <c r="F15" s="120">
        <v>1983</v>
      </c>
      <c r="G15" s="120">
        <v>111</v>
      </c>
      <c r="H15" s="120" t="s">
        <v>115</v>
      </c>
      <c r="I15" s="120">
        <v>8</v>
      </c>
      <c r="J15" s="120" t="s">
        <v>3</v>
      </c>
      <c r="K15" s="120" t="s">
        <v>118</v>
      </c>
      <c r="L15" s="198">
        <v>2</v>
      </c>
      <c r="M15" s="198" t="s">
        <v>188</v>
      </c>
      <c r="N15" s="198">
        <v>1800</v>
      </c>
      <c r="O15" s="333" t="s">
        <v>194</v>
      </c>
      <c r="P15" s="198" t="s">
        <v>190</v>
      </c>
      <c r="Q15" s="120"/>
      <c r="R15" s="198">
        <f>IF(H15="gaz ziemny",'Wskaźniki emisji 2015r'!$B$22,0)</f>
        <v>0</v>
      </c>
      <c r="S15" s="4">
        <f>IF(H15="węgiel kamienny",'Wskaźniki emisji 2015r'!$B$8,IF(H15="gaz ziemny",'Wskaźniki emisji 2015r'!$B$9,IF(H15="drewno opałowe",'Wskaźniki emisji 2015r'!$B$11,IF(H15="olej opałowy",'Wskaźniki emisji 2015r'!$B$10,))))</f>
        <v>7.3377300000000005</v>
      </c>
      <c r="T15" s="3">
        <f t="shared" si="0"/>
        <v>8</v>
      </c>
      <c r="U15" s="3">
        <f>IF(H15="węgiel kamienny",'Wskaźniki emisji 2015r'!$D$8,IF(H15="gaz ziemny",'Wskaźniki emisji 2015r'!$D$9,IF(H15="olej opałowy",'Wskaźniki emisji 2015r'!$D$10,IF(H15="drewno opałowe",'Wskaźniki emisji 2015r'!$D$11,IF(H15="energia elektryczna",'Wskaźniki emisji 2015r'!$D$15)))))</f>
        <v>0.33920577617328518</v>
      </c>
      <c r="V15" s="5">
        <f t="shared" si="1"/>
        <v>58.701840000000004</v>
      </c>
      <c r="W15" s="5">
        <f t="shared" si="2"/>
        <v>19.912003200000001</v>
      </c>
    </row>
    <row r="16" spans="1:23" ht="22.5" customHeight="1">
      <c r="A16" s="439"/>
      <c r="B16" s="198"/>
      <c r="C16" s="198"/>
      <c r="D16" s="196"/>
      <c r="E16" s="198"/>
      <c r="F16" s="198"/>
      <c r="G16" s="198"/>
      <c r="H16" s="198"/>
      <c r="I16" s="198"/>
      <c r="J16" s="198"/>
      <c r="K16" s="198"/>
      <c r="L16" s="198"/>
      <c r="M16" s="198" t="s">
        <v>192</v>
      </c>
      <c r="N16" s="198"/>
      <c r="O16" s="334"/>
      <c r="P16" s="198"/>
      <c r="Q16" s="198"/>
      <c r="R16" s="198">
        <f>IF(H16="gaz ziemny",'Wskaźniki emisji 2015r'!$B$22,0)</f>
        <v>0</v>
      </c>
      <c r="S16" s="4">
        <f>IF(H16="węgiel kamienny",'Wskaźniki emisji 2015r'!$B$8,IF(H16="gaz ziemny",'Wskaźniki emisji 2015r'!$B$9,IF(H16="drewno opałowe",'Wskaźniki emisji 2015r'!$B$11,IF(H16="olej opałowy",'Wskaźniki emisji 2015r'!$B$10,))))</f>
        <v>0</v>
      </c>
      <c r="T16" s="3">
        <f t="shared" si="0"/>
        <v>0</v>
      </c>
      <c r="U16" s="3" t="b">
        <f>IF(H16="węgiel kamienny",'Wskaźniki emisji 2015r'!$D$8,IF(H16="gaz ziemny",'Wskaźniki emisji 2015r'!$D$9,IF(H16="olej opałowy",'Wskaźniki emisji 2015r'!$D$10,IF(H16="drewno opałowe",'Wskaźniki emisji 2015r'!$D$11,IF(H16="energia elektryczna",'Wskaźniki emisji 2015r'!$D$15)))))</f>
        <v>0</v>
      </c>
      <c r="V16" s="5">
        <f t="shared" si="1"/>
        <v>0</v>
      </c>
      <c r="W16" s="5">
        <f t="shared" si="2"/>
        <v>0</v>
      </c>
    </row>
    <row r="17" spans="1:23" ht="24.75" customHeight="1">
      <c r="A17" s="304">
        <v>9</v>
      </c>
      <c r="B17" s="198" t="s">
        <v>287</v>
      </c>
      <c r="C17" s="120" t="s">
        <v>297</v>
      </c>
      <c r="D17" s="121"/>
      <c r="E17" s="120" t="s">
        <v>117</v>
      </c>
      <c r="F17" s="120">
        <v>1986</v>
      </c>
      <c r="G17" s="120">
        <v>140</v>
      </c>
      <c r="H17" s="120" t="s">
        <v>115</v>
      </c>
      <c r="I17" s="120">
        <v>8</v>
      </c>
      <c r="J17" s="120" t="s">
        <v>3</v>
      </c>
      <c r="K17" s="120" t="s">
        <v>118</v>
      </c>
      <c r="L17" s="198"/>
      <c r="M17" s="198"/>
      <c r="N17" s="198"/>
      <c r="O17" s="333" t="s">
        <v>194</v>
      </c>
      <c r="P17" s="198"/>
      <c r="Q17" s="120"/>
      <c r="R17" s="198">
        <f>IF(H17="gaz ziemny",'Wskaźniki emisji 2015r'!$B$22,0)</f>
        <v>0</v>
      </c>
      <c r="S17" s="4">
        <f>IF(H17="węgiel kamienny",'Wskaźniki emisji 2015r'!$B$8,IF(H17="gaz ziemny",'Wskaźniki emisji 2015r'!$B$9,IF(H17="drewno opałowe",'Wskaźniki emisji 2015r'!$B$11,IF(H17="olej opałowy",'Wskaźniki emisji 2015r'!$B$10,))))</f>
        <v>7.3377300000000005</v>
      </c>
      <c r="T17" s="3">
        <f t="shared" si="0"/>
        <v>8</v>
      </c>
      <c r="U17" s="3">
        <f>IF(H17="węgiel kamienny",'Wskaźniki emisji 2015r'!$D$8,IF(H17="gaz ziemny",'Wskaźniki emisji 2015r'!$D$9,IF(H17="olej opałowy",'Wskaźniki emisji 2015r'!$D$10,IF(H17="drewno opałowe",'Wskaźniki emisji 2015r'!$D$11,IF(H17="energia elektryczna",'Wskaźniki emisji 2015r'!$D$15)))))</f>
        <v>0.33920577617328518</v>
      </c>
      <c r="V17" s="5">
        <f t="shared" si="1"/>
        <v>58.701840000000004</v>
      </c>
      <c r="W17" s="5">
        <f t="shared" si="2"/>
        <v>19.912003200000001</v>
      </c>
    </row>
    <row r="18" spans="1:23" ht="24.75" customHeight="1">
      <c r="A18" s="120">
        <v>10</v>
      </c>
      <c r="B18" s="198" t="s">
        <v>287</v>
      </c>
      <c r="C18" s="120" t="s">
        <v>288</v>
      </c>
      <c r="D18" s="121"/>
      <c r="E18" s="120" t="s">
        <v>117</v>
      </c>
      <c r="F18" s="120">
        <v>2000</v>
      </c>
      <c r="G18" s="120">
        <v>100</v>
      </c>
      <c r="H18" s="120" t="s">
        <v>115</v>
      </c>
      <c r="I18" s="120">
        <v>4</v>
      </c>
      <c r="J18" s="120" t="s">
        <v>3</v>
      </c>
      <c r="K18" s="120" t="s">
        <v>118</v>
      </c>
      <c r="L18" s="198"/>
      <c r="M18" s="198"/>
      <c r="N18" s="198"/>
      <c r="O18" s="198" t="s">
        <v>194</v>
      </c>
      <c r="P18" s="198" t="s">
        <v>195</v>
      </c>
      <c r="Q18" s="120"/>
      <c r="R18" s="198">
        <f>IF(H18="gaz ziemny",'Wskaźniki emisji 2015r'!$B$22,0)</f>
        <v>0</v>
      </c>
      <c r="S18" s="4">
        <f>IF(H18="węgiel kamienny",'Wskaźniki emisji 2015r'!$B$8,IF(H18="gaz ziemny",'Wskaźniki emisji 2015r'!$B$9,IF(H18="drewno opałowe",'Wskaźniki emisji 2015r'!$B$11,IF(H18="olej opałowy",'Wskaźniki emisji 2015r'!$B$10,))))</f>
        <v>7.3377300000000005</v>
      </c>
      <c r="T18" s="3">
        <f t="shared" si="0"/>
        <v>4</v>
      </c>
      <c r="U18" s="3">
        <f>IF(H18="węgiel kamienny",'Wskaźniki emisji 2015r'!$D$8,IF(H18="gaz ziemny",'Wskaźniki emisji 2015r'!$D$9,IF(H18="olej opałowy",'Wskaźniki emisji 2015r'!$D$10,IF(H18="drewno opałowe",'Wskaźniki emisji 2015r'!$D$11,IF(H18="energia elektryczna",'Wskaźniki emisji 2015r'!$D$15)))))</f>
        <v>0.33920577617328518</v>
      </c>
      <c r="V18" s="5">
        <f t="shared" si="1"/>
        <v>29.350920000000002</v>
      </c>
      <c r="W18" s="5">
        <f t="shared" si="2"/>
        <v>9.9560016000000005</v>
      </c>
    </row>
    <row r="19" spans="1:23" ht="20.399999999999999">
      <c r="A19" s="120">
        <v>11</v>
      </c>
      <c r="B19" s="198" t="s">
        <v>287</v>
      </c>
      <c r="C19" s="198" t="s">
        <v>288</v>
      </c>
      <c r="D19" s="121"/>
      <c r="E19" s="198" t="s">
        <v>295</v>
      </c>
      <c r="F19" s="120">
        <v>1935</v>
      </c>
      <c r="G19" s="120">
        <v>123</v>
      </c>
      <c r="H19" s="120" t="s">
        <v>115</v>
      </c>
      <c r="I19" s="120">
        <v>7</v>
      </c>
      <c r="J19" s="120" t="s">
        <v>3</v>
      </c>
      <c r="K19" s="120" t="s">
        <v>118</v>
      </c>
      <c r="L19" s="198">
        <v>1</v>
      </c>
      <c r="M19" s="198" t="s">
        <v>192</v>
      </c>
      <c r="N19" s="198">
        <v>600</v>
      </c>
      <c r="O19" s="198" t="s">
        <v>190</v>
      </c>
      <c r="P19" s="198" t="s">
        <v>194</v>
      </c>
      <c r="Q19" s="120"/>
      <c r="R19" s="198">
        <f>IF(H19="gaz ziemny",'Wskaźniki emisji 2015r'!$B$22,0)</f>
        <v>0</v>
      </c>
      <c r="S19" s="4">
        <f>IF(H19="węgiel kamienny",'Wskaźniki emisji 2015r'!$B$8,IF(H19="gaz ziemny",'Wskaźniki emisji 2015r'!$B$9,IF(H19="drewno opałowe",'Wskaźniki emisji 2015r'!$B$11,IF(H19="olej opałowy",'Wskaźniki emisji 2015r'!$B$10,))))</f>
        <v>7.3377300000000005</v>
      </c>
      <c r="T19" s="3">
        <f t="shared" si="0"/>
        <v>7</v>
      </c>
      <c r="U19" s="3">
        <f>IF(H19="węgiel kamienny",'Wskaźniki emisji 2015r'!$D$8,IF(H19="gaz ziemny",'Wskaźniki emisji 2015r'!$D$9,IF(H19="olej opałowy",'Wskaźniki emisji 2015r'!$D$10,IF(H19="drewno opałowe",'Wskaźniki emisji 2015r'!$D$11,IF(H19="energia elektryczna",'Wskaźniki emisji 2015r'!$D$15)))))</f>
        <v>0.33920577617328518</v>
      </c>
      <c r="V19" s="5">
        <f t="shared" si="1"/>
        <v>51.364110000000004</v>
      </c>
      <c r="W19" s="5">
        <f t="shared" si="2"/>
        <v>17.423002799999999</v>
      </c>
    </row>
    <row r="20" spans="1:23">
      <c r="A20" s="120">
        <v>12</v>
      </c>
      <c r="B20" s="198" t="s">
        <v>298</v>
      </c>
      <c r="C20" s="198" t="s">
        <v>196</v>
      </c>
      <c r="D20" s="121"/>
      <c r="E20" s="198" t="s">
        <v>117</v>
      </c>
      <c r="F20" s="120">
        <v>1990</v>
      </c>
      <c r="G20" s="120">
        <v>160</v>
      </c>
      <c r="H20" s="120" t="s">
        <v>115</v>
      </c>
      <c r="I20" s="120">
        <v>7</v>
      </c>
      <c r="J20" s="120" t="s">
        <v>3</v>
      </c>
      <c r="K20" s="120" t="s">
        <v>118</v>
      </c>
      <c r="L20" s="198">
        <v>2</v>
      </c>
      <c r="M20" s="198" t="s">
        <v>192</v>
      </c>
      <c r="N20" s="198">
        <v>800</v>
      </c>
      <c r="O20" s="198"/>
      <c r="P20" s="198"/>
      <c r="Q20" s="120">
        <v>4000</v>
      </c>
      <c r="R20" s="198">
        <f>IF(H20="gaz ziemny",'Wskaźniki emisji 2015r'!$B$22,0)</f>
        <v>0</v>
      </c>
      <c r="S20" s="4">
        <f>IF(H20="węgiel kamienny",'Wskaźniki emisji 2015r'!$B$8,IF(H20="gaz ziemny",'Wskaźniki emisji 2015r'!$B$9,IF(H20="drewno opałowe",'Wskaźniki emisji 2015r'!$B$11,IF(H20="olej opałowy",'Wskaźniki emisji 2015r'!$B$10,))))</f>
        <v>7.3377300000000005</v>
      </c>
      <c r="T20" s="3">
        <f t="shared" si="0"/>
        <v>7</v>
      </c>
      <c r="U20" s="3">
        <f>IF(H20="węgiel kamienny",'Wskaźniki emisji 2015r'!$D$8,IF(H20="gaz ziemny",'Wskaźniki emisji 2015r'!$D$9,IF(H20="olej opałowy",'Wskaźniki emisji 2015r'!$D$10,IF(H20="drewno opałowe",'Wskaźniki emisji 2015r'!$D$11,IF(H20="energia elektryczna",'Wskaźniki emisji 2015r'!$D$15)))))</f>
        <v>0.33920577617328518</v>
      </c>
      <c r="V20" s="5">
        <f t="shared" si="1"/>
        <v>51.364110000000004</v>
      </c>
      <c r="W20" s="5">
        <f t="shared" si="2"/>
        <v>17.423002799999999</v>
      </c>
    </row>
    <row r="21" spans="1:23">
      <c r="A21" s="198"/>
      <c r="B21" s="198"/>
      <c r="C21" s="198"/>
      <c r="D21" s="303"/>
      <c r="E21" s="198"/>
      <c r="F21" s="198"/>
      <c r="G21" s="198"/>
      <c r="H21" s="198"/>
      <c r="I21" s="198"/>
      <c r="J21" s="198"/>
      <c r="K21" s="198"/>
      <c r="L21" s="198"/>
      <c r="M21" s="198" t="s">
        <v>188</v>
      </c>
      <c r="N21" s="198"/>
      <c r="O21" s="198"/>
      <c r="P21" s="198"/>
      <c r="Q21" s="198"/>
      <c r="R21" s="198"/>
      <c r="S21" s="4">
        <f>IF(H21="węgiel kamienny",'Wskaźniki emisji 2015r'!$B$8,IF(H21="gaz ziemny",'Wskaźniki emisji 2015r'!$B$9,IF(H21="drewno opałowe",'Wskaźniki emisji 2015r'!$B$11,IF(H21="olej opałowy",'Wskaźniki emisji 2015r'!$B$10,))))</f>
        <v>0</v>
      </c>
      <c r="T21" s="3">
        <f t="shared" si="0"/>
        <v>0</v>
      </c>
      <c r="U21" s="3" t="b">
        <f>IF(H21="węgiel kamienny",'Wskaźniki emisji 2015r'!$D$8,IF(H21="gaz ziemny",'Wskaźniki emisji 2015r'!$D$9,IF(H21="olej opałowy",'Wskaźniki emisji 2015r'!$D$10,IF(H21="drewno opałowe",'Wskaźniki emisji 2015r'!$D$11,IF(H21="energia elektryczna",'Wskaźniki emisji 2015r'!$D$15)))))</f>
        <v>0</v>
      </c>
      <c r="V21" s="5">
        <f t="shared" si="1"/>
        <v>0</v>
      </c>
      <c r="W21" s="5">
        <f t="shared" si="2"/>
        <v>0</v>
      </c>
    </row>
    <row r="22" spans="1:23" ht="21.75" customHeight="1">
      <c r="A22" s="120">
        <v>13</v>
      </c>
      <c r="B22" s="198" t="s">
        <v>291</v>
      </c>
      <c r="C22" s="198" t="s">
        <v>292</v>
      </c>
      <c r="D22" s="196"/>
      <c r="E22" s="198" t="s">
        <v>117</v>
      </c>
      <c r="F22" s="120">
        <v>1950</v>
      </c>
      <c r="G22" s="120">
        <v>110</v>
      </c>
      <c r="H22" s="120" t="s">
        <v>115</v>
      </c>
      <c r="I22" s="120">
        <v>6</v>
      </c>
      <c r="J22" s="120" t="s">
        <v>3</v>
      </c>
      <c r="K22" s="120" t="s">
        <v>118</v>
      </c>
      <c r="L22" s="198">
        <v>2</v>
      </c>
      <c r="M22" s="198" t="s">
        <v>192</v>
      </c>
      <c r="N22" s="198">
        <v>1000</v>
      </c>
      <c r="O22" s="198" t="s">
        <v>194</v>
      </c>
      <c r="P22" s="198" t="s">
        <v>193</v>
      </c>
      <c r="Q22" s="120">
        <v>2000</v>
      </c>
      <c r="R22" s="198">
        <f>IF(H22="gaz ziemny",'Wskaźniki emisji 2015r'!$B$22,0)</f>
        <v>0</v>
      </c>
      <c r="S22" s="4">
        <f>IF(H22="węgiel kamienny",'Wskaźniki emisji 2015r'!$B$8,IF(H22="gaz ziemny",'Wskaźniki emisji 2015r'!$B$9,IF(H22="drewno opałowe",'Wskaźniki emisji 2015r'!$B$11,IF(H22="olej opałowy",'Wskaźniki emisji 2015r'!$B$10,))))</f>
        <v>7.3377300000000005</v>
      </c>
      <c r="T22" s="3">
        <f t="shared" si="0"/>
        <v>6</v>
      </c>
      <c r="U22" s="3">
        <f>IF(H22="węgiel kamienny",'Wskaźniki emisji 2015r'!$D$8,IF(H22="gaz ziemny",'Wskaźniki emisji 2015r'!$D$9,IF(H22="olej opałowy",'Wskaźniki emisji 2015r'!$D$10,IF(H22="drewno opałowe",'Wskaźniki emisji 2015r'!$D$11,IF(H22="energia elektryczna",'Wskaźniki emisji 2015r'!$D$15)))))</f>
        <v>0.33920577617328518</v>
      </c>
      <c r="V22" s="5">
        <f t="shared" si="1"/>
        <v>44.026380000000003</v>
      </c>
      <c r="W22" s="5">
        <f t="shared" si="2"/>
        <v>14.934002400000001</v>
      </c>
    </row>
    <row r="23" spans="1:23" ht="21.75" customHeight="1">
      <c r="A23" s="198"/>
      <c r="B23" s="198"/>
      <c r="C23" s="198"/>
      <c r="D23" s="303"/>
      <c r="E23" s="198"/>
      <c r="F23" s="198"/>
      <c r="G23" s="198"/>
      <c r="H23" s="198"/>
      <c r="I23" s="198"/>
      <c r="J23" s="198"/>
      <c r="K23" s="198"/>
      <c r="L23" s="198"/>
      <c r="M23" s="198" t="s">
        <v>188</v>
      </c>
      <c r="N23" s="198"/>
      <c r="O23" s="198" t="s">
        <v>190</v>
      </c>
      <c r="P23" s="198" t="s">
        <v>198</v>
      </c>
      <c r="Q23" s="198"/>
      <c r="R23" s="198"/>
      <c r="S23" s="4">
        <f>IF(H23="węgiel kamienny",'Wskaźniki emisji 2015r'!$B$8,IF(H23="gaz ziemny",'Wskaźniki emisji 2015r'!$B$9,IF(H23="drewno opałowe",'Wskaźniki emisji 2015r'!$B$11,IF(H23="olej opałowy",'Wskaźniki emisji 2015r'!$B$10,))))</f>
        <v>0</v>
      </c>
      <c r="T23" s="3">
        <f t="shared" si="0"/>
        <v>0</v>
      </c>
      <c r="U23" s="3" t="b">
        <f>IF(H23="węgiel kamienny",'Wskaźniki emisji 2015r'!$D$8,IF(H23="gaz ziemny",'Wskaźniki emisji 2015r'!$D$9,IF(H23="olej opałowy",'Wskaźniki emisji 2015r'!$D$10,IF(H23="drewno opałowe",'Wskaźniki emisji 2015r'!$D$11,IF(H23="energia elektryczna",'Wskaźniki emisji 2015r'!$D$15)))))</f>
        <v>0</v>
      </c>
      <c r="V23" s="5">
        <f t="shared" si="1"/>
        <v>0</v>
      </c>
      <c r="W23" s="5">
        <f t="shared" si="2"/>
        <v>0</v>
      </c>
    </row>
    <row r="24" spans="1:23" ht="21.75" customHeight="1">
      <c r="A24" s="198"/>
      <c r="B24" s="198"/>
      <c r="C24" s="198"/>
      <c r="D24" s="303"/>
      <c r="E24" s="198"/>
      <c r="F24" s="198"/>
      <c r="G24" s="198"/>
      <c r="H24" s="198"/>
      <c r="I24" s="198"/>
      <c r="J24" s="198"/>
      <c r="K24" s="198"/>
      <c r="L24" s="198"/>
      <c r="M24" s="198"/>
      <c r="N24" s="198"/>
      <c r="O24" s="198"/>
      <c r="P24" s="198" t="s">
        <v>120</v>
      </c>
      <c r="Q24" s="198"/>
      <c r="R24" s="198"/>
      <c r="S24" s="4">
        <f>IF(H24="węgiel kamienny",'Wskaźniki emisji 2015r'!$B$8,IF(H24="gaz ziemny",'Wskaźniki emisji 2015r'!$B$9,IF(H24="drewno opałowe",'Wskaźniki emisji 2015r'!$B$11,IF(H24="olej opałowy",'Wskaźniki emisji 2015r'!$B$10,))))</f>
        <v>0</v>
      </c>
      <c r="T24" s="3">
        <f t="shared" si="0"/>
        <v>0</v>
      </c>
      <c r="U24" s="3" t="b">
        <f>IF(H24="węgiel kamienny",'Wskaźniki emisji 2015r'!$D$8,IF(H24="gaz ziemny",'Wskaźniki emisji 2015r'!$D$9,IF(H24="olej opałowy",'Wskaźniki emisji 2015r'!$D$10,IF(H24="drewno opałowe",'Wskaźniki emisji 2015r'!$D$11,IF(H24="energia elektryczna",'Wskaźniki emisji 2015r'!$D$15)))))</f>
        <v>0</v>
      </c>
      <c r="V24" s="5">
        <f t="shared" si="1"/>
        <v>0</v>
      </c>
      <c r="W24" s="5">
        <f t="shared" si="2"/>
        <v>0</v>
      </c>
    </row>
    <row r="25" spans="1:23" ht="20.399999999999999">
      <c r="A25" s="120">
        <v>14</v>
      </c>
      <c r="B25" s="198" t="s">
        <v>287</v>
      </c>
      <c r="C25" s="70" t="s">
        <v>299</v>
      </c>
      <c r="D25" s="121"/>
      <c r="E25" s="198" t="s">
        <v>117</v>
      </c>
      <c r="F25" s="70">
        <v>2014</v>
      </c>
      <c r="G25" s="70">
        <v>120</v>
      </c>
      <c r="H25" s="120" t="s">
        <v>115</v>
      </c>
      <c r="I25" s="70">
        <v>4</v>
      </c>
      <c r="J25" s="120" t="s">
        <v>3</v>
      </c>
      <c r="K25" s="70" t="s">
        <v>122</v>
      </c>
      <c r="L25" s="70">
        <v>1</v>
      </c>
      <c r="M25" s="70" t="s">
        <v>192</v>
      </c>
      <c r="N25" s="70">
        <v>400</v>
      </c>
      <c r="O25" s="70"/>
      <c r="P25" s="70"/>
      <c r="Q25" s="70"/>
      <c r="R25" s="198">
        <f>IF(H25="gaz ziemny",'Wskaźniki emisji 2015r'!$B$22,0)</f>
        <v>0</v>
      </c>
      <c r="S25" s="4">
        <f>IF(H25="węgiel kamienny",'Wskaźniki emisji 2015r'!$B$8,IF(H25="gaz ziemny",'Wskaźniki emisji 2015r'!$B$9,IF(H25="drewno opałowe",'Wskaźniki emisji 2015r'!$B$11,IF(H25="olej opałowy",'Wskaźniki emisji 2015r'!$B$10,))))</f>
        <v>7.3377300000000005</v>
      </c>
      <c r="T25" s="3">
        <f t="shared" si="0"/>
        <v>4</v>
      </c>
      <c r="U25" s="3">
        <f>IF(H25="węgiel kamienny",'Wskaźniki emisji 2015r'!$D$8,IF(H25="gaz ziemny",'Wskaźniki emisji 2015r'!$D$9,IF(H25="olej opałowy",'Wskaźniki emisji 2015r'!$D$10,IF(H25="drewno opałowe",'Wskaźniki emisji 2015r'!$D$11,IF(H25="energia elektryczna",'Wskaźniki emisji 2015r'!$D$15)))))</f>
        <v>0.33920577617328518</v>
      </c>
      <c r="V25" s="5">
        <f t="shared" si="1"/>
        <v>29.350920000000002</v>
      </c>
      <c r="W25" s="5">
        <f t="shared" si="2"/>
        <v>9.9560016000000005</v>
      </c>
    </row>
    <row r="26" spans="1:23" ht="20.399999999999999">
      <c r="A26" s="438">
        <v>15</v>
      </c>
      <c r="B26" s="198" t="s">
        <v>300</v>
      </c>
      <c r="C26" s="70" t="s">
        <v>301</v>
      </c>
      <c r="D26" s="121"/>
      <c r="E26" s="198" t="s">
        <v>117</v>
      </c>
      <c r="F26" s="70">
        <v>1961</v>
      </c>
      <c r="G26" s="70">
        <v>91.2</v>
      </c>
      <c r="H26" s="120" t="s">
        <v>115</v>
      </c>
      <c r="I26" s="70">
        <v>9</v>
      </c>
      <c r="J26" s="120" t="s">
        <v>3</v>
      </c>
      <c r="K26" s="70" t="s">
        <v>122</v>
      </c>
      <c r="L26" s="70">
        <v>2</v>
      </c>
      <c r="M26" s="70" t="s">
        <v>192</v>
      </c>
      <c r="N26" s="70">
        <v>300</v>
      </c>
      <c r="O26" s="70" t="s">
        <v>190</v>
      </c>
      <c r="P26" s="70" t="s">
        <v>195</v>
      </c>
      <c r="Q26" s="70">
        <v>4000</v>
      </c>
      <c r="R26" s="198">
        <f>IF(H26="gaz ziemny",'Wskaźniki emisji 2015r'!$B$22,0)</f>
        <v>0</v>
      </c>
      <c r="S26" s="4">
        <f>IF(H26="węgiel kamienny",'Wskaźniki emisji 2015r'!$B$8,IF(H26="gaz ziemny",'Wskaźniki emisji 2015r'!$B$9,IF(H26="drewno opałowe",'Wskaźniki emisji 2015r'!$B$11,IF(H26="olej opałowy",'Wskaźniki emisji 2015r'!$B$10,))))</f>
        <v>7.3377300000000005</v>
      </c>
      <c r="T26" s="3">
        <f t="shared" si="0"/>
        <v>9</v>
      </c>
      <c r="U26" s="3">
        <f>IF(H26="węgiel kamienny",'Wskaźniki emisji 2015r'!$D$8,IF(H26="gaz ziemny",'Wskaźniki emisji 2015r'!$D$9,IF(H26="olej opałowy",'Wskaźniki emisji 2015r'!$D$10,IF(H26="drewno opałowe",'Wskaźniki emisji 2015r'!$D$11,IF(H26="energia elektryczna",'Wskaźniki emisji 2015r'!$D$15)))))</f>
        <v>0.33920577617328518</v>
      </c>
      <c r="V26" s="5">
        <f t="shared" si="1"/>
        <v>66.039569999999998</v>
      </c>
      <c r="W26" s="5">
        <f t="shared" si="2"/>
        <v>22.401003599999999</v>
      </c>
    </row>
    <row r="27" spans="1:23" ht="20.399999999999999">
      <c r="A27" s="439"/>
      <c r="B27" s="198"/>
      <c r="C27" s="70"/>
      <c r="D27" s="196"/>
      <c r="E27" s="198"/>
      <c r="F27" s="70"/>
      <c r="G27" s="70"/>
      <c r="H27" s="198"/>
      <c r="I27" s="70"/>
      <c r="J27" s="198"/>
      <c r="K27" s="70"/>
      <c r="L27" s="70"/>
      <c r="M27" s="70"/>
      <c r="N27" s="70"/>
      <c r="O27" s="70" t="s">
        <v>194</v>
      </c>
      <c r="P27" s="70" t="s">
        <v>190</v>
      </c>
      <c r="Q27" s="70"/>
      <c r="R27" s="198">
        <f>IF(H27="gaz ziemny",'Wskaźniki emisji 2015r'!$B$22,0)</f>
        <v>0</v>
      </c>
      <c r="S27" s="4">
        <f>IF(H27="węgiel kamienny",'Wskaźniki emisji 2015r'!$B$8,IF(H27="gaz ziemny",'Wskaźniki emisji 2015r'!$B$9,IF(H27="drewno opałowe",'Wskaźniki emisji 2015r'!$B$11,IF(H27="olej opałowy",'Wskaźniki emisji 2015r'!$B$10,))))</f>
        <v>0</v>
      </c>
      <c r="T27" s="3">
        <f t="shared" si="0"/>
        <v>0</v>
      </c>
      <c r="U27" s="3" t="b">
        <f>IF(H27="węgiel kamienny",'Wskaźniki emisji 2015r'!$D$8,IF(H27="gaz ziemny",'Wskaźniki emisji 2015r'!$D$9,IF(H27="olej opałowy",'Wskaźniki emisji 2015r'!$D$10,IF(H27="drewno opałowe",'Wskaźniki emisji 2015r'!$D$11,IF(H27="energia elektryczna",'Wskaźniki emisji 2015r'!$D$15)))))</f>
        <v>0</v>
      </c>
      <c r="V27" s="5">
        <f t="shared" si="1"/>
        <v>0</v>
      </c>
      <c r="W27" s="5">
        <f t="shared" si="2"/>
        <v>0</v>
      </c>
    </row>
    <row r="28" spans="1:23">
      <c r="A28" s="120">
        <v>16</v>
      </c>
      <c r="B28" s="198" t="s">
        <v>291</v>
      </c>
      <c r="C28" s="70" t="s">
        <v>292</v>
      </c>
      <c r="D28" s="121"/>
      <c r="E28" s="70" t="s">
        <v>117</v>
      </c>
      <c r="F28" s="70">
        <v>1958</v>
      </c>
      <c r="G28" s="70">
        <v>149</v>
      </c>
      <c r="H28" s="120" t="s">
        <v>163</v>
      </c>
      <c r="I28" s="70"/>
      <c r="J28" s="120" t="s">
        <v>3</v>
      </c>
      <c r="K28" s="70" t="s">
        <v>122</v>
      </c>
      <c r="L28" s="70">
        <v>2</v>
      </c>
      <c r="M28" s="70" t="s">
        <v>192</v>
      </c>
      <c r="N28" s="70">
        <v>3000</v>
      </c>
      <c r="O28" s="70" t="s">
        <v>190</v>
      </c>
      <c r="P28" s="70"/>
      <c r="Q28" s="70">
        <v>1450</v>
      </c>
      <c r="R28" s="198">
        <f>IF(H28="gaz ziemny",'Wskaźniki emisji 2015r'!$B$22,0)</f>
        <v>0</v>
      </c>
      <c r="S28" s="4">
        <f>IF(H28="węgiel kamienny",'Wskaźniki emisji 2015r'!$B$8,IF(H28="gaz ziemny",'Wskaźniki emisji 2015r'!$B$9,IF(H28="drewno opałowe",'Wskaźniki emisji 2015r'!$B$11,IF(H28="olej opałowy",'Wskaźniki emisji 2015r'!$B$10,))))</f>
        <v>4.3212000000000002</v>
      </c>
      <c r="T28" s="3">
        <f t="shared" si="0"/>
        <v>0</v>
      </c>
      <c r="U28" s="3">
        <f>IF(H28="węgiel kamienny",'Wskaźniki emisji 2015r'!$D$8,IF(H28="gaz ziemny",'Wskaźniki emisji 2015r'!$D$9,IF(H28="olej opałowy",'Wskaźniki emisji 2015r'!$D$10,IF(H28="drewno opałowe",'Wskaźniki emisji 2015r'!$D$11,IF(H28="energia elektryczna",'Wskaźniki emisji 2015r'!$D$15)))))</f>
        <v>0</v>
      </c>
      <c r="V28" s="5">
        <f t="shared" si="1"/>
        <v>0</v>
      </c>
      <c r="W28" s="5">
        <f t="shared" si="2"/>
        <v>0</v>
      </c>
    </row>
    <row r="29" spans="1:23" ht="20.399999999999999">
      <c r="A29" s="198"/>
      <c r="B29" s="198"/>
      <c r="C29" s="70"/>
      <c r="D29" s="303"/>
      <c r="E29" s="70"/>
      <c r="F29" s="70"/>
      <c r="G29" s="70"/>
      <c r="H29" s="198"/>
      <c r="I29" s="70"/>
      <c r="J29" s="198"/>
      <c r="K29" s="70"/>
      <c r="L29" s="70"/>
      <c r="M29" s="70" t="s">
        <v>12</v>
      </c>
      <c r="N29" s="70"/>
      <c r="O29" s="70" t="s">
        <v>194</v>
      </c>
      <c r="P29" s="70"/>
      <c r="Q29" s="70"/>
      <c r="R29" s="198"/>
      <c r="S29" s="4">
        <f>IF(H29="węgiel kamienny",'Wskaźniki emisji 2015r'!$B$8,IF(H29="gaz ziemny",'Wskaźniki emisji 2015r'!$B$9,IF(H29="drewno opałowe",'Wskaźniki emisji 2015r'!$B$11,IF(H29="olej opałowy",'Wskaźniki emisji 2015r'!$B$10,))))</f>
        <v>0</v>
      </c>
      <c r="T29" s="3">
        <f t="shared" si="0"/>
        <v>0</v>
      </c>
      <c r="U29" s="3" t="b">
        <f>IF(H29="węgiel kamienny",'Wskaźniki emisji 2015r'!$D$8,IF(H29="gaz ziemny",'Wskaźniki emisji 2015r'!$D$9,IF(H29="olej opałowy",'Wskaźniki emisji 2015r'!$D$10,IF(H29="drewno opałowe",'Wskaźniki emisji 2015r'!$D$11,IF(H29="energia elektryczna",'Wskaźniki emisji 2015r'!$D$15)))))</f>
        <v>0</v>
      </c>
      <c r="V29" s="5">
        <f t="shared" si="1"/>
        <v>0</v>
      </c>
      <c r="W29" s="5">
        <f t="shared" si="2"/>
        <v>0</v>
      </c>
    </row>
    <row r="30" spans="1:23">
      <c r="A30" s="120">
        <v>17</v>
      </c>
      <c r="B30" s="198" t="s">
        <v>300</v>
      </c>
      <c r="C30" s="70" t="s">
        <v>302</v>
      </c>
      <c r="D30" s="196"/>
      <c r="E30" s="70" t="s">
        <v>117</v>
      </c>
      <c r="F30" s="70">
        <v>2014</v>
      </c>
      <c r="G30" s="70">
        <v>140</v>
      </c>
      <c r="H30" s="120" t="s">
        <v>115</v>
      </c>
      <c r="I30" s="70">
        <v>4</v>
      </c>
      <c r="J30" s="120" t="s">
        <v>3</v>
      </c>
      <c r="K30" s="70" t="s">
        <v>122</v>
      </c>
      <c r="L30" s="70">
        <v>2</v>
      </c>
      <c r="M30" s="70" t="s">
        <v>12</v>
      </c>
      <c r="N30" s="70">
        <v>3000</v>
      </c>
      <c r="O30" s="70"/>
      <c r="P30" s="70"/>
      <c r="Q30" s="70">
        <v>2800</v>
      </c>
      <c r="R30" s="198">
        <f>IF(H30="gaz ziemny",'Wskaźniki emisji 2015r'!$B$22,0)</f>
        <v>0</v>
      </c>
      <c r="S30" s="4">
        <f>IF(H30="węgiel kamienny",'Wskaźniki emisji 2015r'!$B$8,IF(H30="gaz ziemny",'Wskaźniki emisji 2015r'!$B$9,IF(H30="drewno opałowe",'Wskaźniki emisji 2015r'!$B$11,IF(H30="olej opałowy",'Wskaźniki emisji 2015r'!$B$10,))))</f>
        <v>7.3377300000000005</v>
      </c>
      <c r="T30" s="3">
        <f t="shared" si="0"/>
        <v>4</v>
      </c>
      <c r="U30" s="3">
        <f>IF(H30="węgiel kamienny",'Wskaźniki emisji 2015r'!$D$8,IF(H30="gaz ziemny",'Wskaźniki emisji 2015r'!$D$9,IF(H30="olej opałowy",'Wskaźniki emisji 2015r'!$D$10,IF(H30="drewno opałowe",'Wskaźniki emisji 2015r'!$D$11,IF(H30="energia elektryczna",'Wskaźniki emisji 2015r'!$D$15)))))</f>
        <v>0.33920577617328518</v>
      </c>
      <c r="V30" s="5">
        <f t="shared" si="1"/>
        <v>29.350920000000002</v>
      </c>
      <c r="W30" s="5">
        <f t="shared" si="2"/>
        <v>9.9560016000000005</v>
      </c>
    </row>
    <row r="31" spans="1:23" ht="20.399999999999999">
      <c r="A31" s="120">
        <v>18</v>
      </c>
      <c r="B31" s="198" t="s">
        <v>300</v>
      </c>
      <c r="C31" s="70" t="s">
        <v>303</v>
      </c>
      <c r="D31" s="121"/>
      <c r="E31" s="70" t="s">
        <v>121</v>
      </c>
      <c r="F31" s="70">
        <v>1956</v>
      </c>
      <c r="G31" s="70">
        <v>160</v>
      </c>
      <c r="H31" s="120" t="s">
        <v>115</v>
      </c>
      <c r="I31" s="70">
        <v>8</v>
      </c>
      <c r="J31" s="120" t="s">
        <v>3</v>
      </c>
      <c r="K31" s="70" t="s">
        <v>122</v>
      </c>
      <c r="L31" s="70">
        <v>3</v>
      </c>
      <c r="M31" s="70" t="s">
        <v>12</v>
      </c>
      <c r="N31" s="70">
        <v>2500</v>
      </c>
      <c r="O31" s="70" t="s">
        <v>190</v>
      </c>
      <c r="P31" s="70" t="s">
        <v>194</v>
      </c>
      <c r="Q31" s="70">
        <v>1500</v>
      </c>
      <c r="R31" s="198">
        <f>IF(H31="gaz ziemny",'Wskaźniki emisji 2015r'!$B$22,0)</f>
        <v>0</v>
      </c>
      <c r="S31" s="4">
        <f>IF(H31="węgiel kamienny",'Wskaźniki emisji 2015r'!$B$8,IF(H31="gaz ziemny",'Wskaźniki emisji 2015r'!$B$9,IF(H31="drewno opałowe",'Wskaźniki emisji 2015r'!$B$11,IF(H31="olej opałowy",'Wskaźniki emisji 2015r'!$B$10,))))</f>
        <v>7.3377300000000005</v>
      </c>
      <c r="T31" s="3">
        <f t="shared" si="0"/>
        <v>8</v>
      </c>
      <c r="U31" s="3">
        <f>IF(H31="węgiel kamienny",'Wskaźniki emisji 2015r'!$D$8,IF(H31="gaz ziemny",'Wskaźniki emisji 2015r'!$D$9,IF(H31="olej opałowy",'Wskaźniki emisji 2015r'!$D$10,IF(H31="drewno opałowe",'Wskaźniki emisji 2015r'!$D$11,IF(H31="energia elektryczna",'Wskaźniki emisji 2015r'!$D$15)))))</f>
        <v>0.33920577617328518</v>
      </c>
      <c r="V31" s="5">
        <f t="shared" si="1"/>
        <v>58.701840000000004</v>
      </c>
      <c r="W31" s="5">
        <f t="shared" si="2"/>
        <v>19.912003200000001</v>
      </c>
    </row>
    <row r="32" spans="1:23" ht="20.399999999999999">
      <c r="A32" s="198"/>
      <c r="B32" s="198"/>
      <c r="C32" s="70"/>
      <c r="D32" s="303"/>
      <c r="E32" s="70"/>
      <c r="F32" s="70"/>
      <c r="G32" s="70"/>
      <c r="H32" s="198"/>
      <c r="I32" s="70"/>
      <c r="J32" s="198"/>
      <c r="K32" s="70"/>
      <c r="L32" s="70"/>
      <c r="M32" s="70"/>
      <c r="N32" s="70"/>
      <c r="O32" s="70"/>
      <c r="P32" s="70" t="s">
        <v>198</v>
      </c>
      <c r="Q32" s="70"/>
      <c r="R32" s="198"/>
      <c r="S32" s="4">
        <f>IF(H32="węgiel kamienny",'Wskaźniki emisji 2015r'!$B$8,IF(H32="gaz ziemny",'Wskaźniki emisji 2015r'!$B$9,IF(H32="drewno opałowe",'Wskaźniki emisji 2015r'!$B$11,IF(H32="olej opałowy",'Wskaźniki emisji 2015r'!$B$10,))))</f>
        <v>0</v>
      </c>
      <c r="T32" s="3">
        <f t="shared" si="0"/>
        <v>0</v>
      </c>
      <c r="U32" s="3" t="b">
        <f>IF(H32="węgiel kamienny",'Wskaźniki emisji 2015r'!$D$8,IF(H32="gaz ziemny",'Wskaźniki emisji 2015r'!$D$9,IF(H32="olej opałowy",'Wskaźniki emisji 2015r'!$D$10,IF(H32="drewno opałowe",'Wskaźniki emisji 2015r'!$D$11,IF(H32="energia elektryczna",'Wskaźniki emisji 2015r'!$D$15)))))</f>
        <v>0</v>
      </c>
      <c r="V32" s="5">
        <f t="shared" si="1"/>
        <v>0</v>
      </c>
      <c r="W32" s="5">
        <f t="shared" si="2"/>
        <v>0</v>
      </c>
    </row>
    <row r="33" spans="1:23" ht="20.399999999999999">
      <c r="A33" s="120">
        <v>19</v>
      </c>
      <c r="B33" s="198" t="s">
        <v>287</v>
      </c>
      <c r="C33" s="70" t="s">
        <v>299</v>
      </c>
      <c r="D33" s="196"/>
      <c r="E33" s="70" t="s">
        <v>121</v>
      </c>
      <c r="F33" s="70">
        <v>1985</v>
      </c>
      <c r="G33" s="70">
        <v>100</v>
      </c>
      <c r="H33" s="120" t="s">
        <v>115</v>
      </c>
      <c r="I33" s="70">
        <v>7</v>
      </c>
      <c r="J33" s="120" t="s">
        <v>3</v>
      </c>
      <c r="K33" s="70" t="s">
        <v>122</v>
      </c>
      <c r="L33" s="70">
        <v>1</v>
      </c>
      <c r="M33" s="70" t="s">
        <v>192</v>
      </c>
      <c r="N33" s="70">
        <v>350</v>
      </c>
      <c r="O33" s="70" t="s">
        <v>194</v>
      </c>
      <c r="P33" s="70" t="s">
        <v>289</v>
      </c>
      <c r="Q33" s="70">
        <v>3800</v>
      </c>
      <c r="R33" s="198">
        <f>IF(H33="gaz ziemny",'Wskaźniki emisji 2015r'!$B$22,0)</f>
        <v>0</v>
      </c>
      <c r="S33" s="4">
        <f>IF(H33="węgiel kamienny",'Wskaźniki emisji 2015r'!$B$8,IF(H33="gaz ziemny",'Wskaźniki emisji 2015r'!$B$9,IF(H33="drewno opałowe",'Wskaźniki emisji 2015r'!$B$11,IF(H33="olej opałowy",'Wskaźniki emisji 2015r'!$B$10,))))</f>
        <v>7.3377300000000005</v>
      </c>
      <c r="T33" s="3">
        <f t="shared" si="0"/>
        <v>7</v>
      </c>
      <c r="U33" s="3">
        <f>IF(H33="węgiel kamienny",'Wskaźniki emisji 2015r'!$D$8,IF(H33="gaz ziemny",'Wskaźniki emisji 2015r'!$D$9,IF(H33="olej opałowy",'Wskaźniki emisji 2015r'!$D$10,IF(H33="drewno opałowe",'Wskaźniki emisji 2015r'!$D$11,IF(H33="energia elektryczna",'Wskaźniki emisji 2015r'!$D$15)))))</f>
        <v>0.33920577617328518</v>
      </c>
      <c r="V33" s="5">
        <f t="shared" si="1"/>
        <v>51.364110000000004</v>
      </c>
      <c r="W33" s="5">
        <f t="shared" si="2"/>
        <v>17.423002799999999</v>
      </c>
    </row>
    <row r="34" spans="1:23" ht="22.2" customHeight="1">
      <c r="A34" s="120">
        <v>20</v>
      </c>
      <c r="B34" s="198" t="s">
        <v>287</v>
      </c>
      <c r="C34" s="70" t="s">
        <v>288</v>
      </c>
      <c r="D34" s="121">
        <v>40</v>
      </c>
      <c r="E34" s="70" t="s">
        <v>121</v>
      </c>
      <c r="F34" s="70">
        <v>1962</v>
      </c>
      <c r="G34" s="70">
        <v>110</v>
      </c>
      <c r="H34" s="120" t="s">
        <v>115</v>
      </c>
      <c r="I34" s="70">
        <v>5</v>
      </c>
      <c r="J34" s="120" t="s">
        <v>3</v>
      </c>
      <c r="K34" s="70" t="s">
        <v>122</v>
      </c>
      <c r="L34" s="70">
        <v>1</v>
      </c>
      <c r="M34" s="70" t="s">
        <v>192</v>
      </c>
      <c r="N34" s="70">
        <v>200</v>
      </c>
      <c r="O34" s="70" t="s">
        <v>190</v>
      </c>
      <c r="P34" s="70"/>
      <c r="Q34" s="70">
        <f>117*12/0.6</f>
        <v>2340</v>
      </c>
      <c r="R34" s="198">
        <f>IF(H34="gaz ziemny",'Wskaźniki emisji 2015r'!$B$22,0)</f>
        <v>0</v>
      </c>
      <c r="S34" s="4">
        <f>IF(H34="węgiel kamienny",'Wskaźniki emisji 2015r'!$B$8,IF(H34="gaz ziemny",'Wskaźniki emisji 2015r'!$B$9,IF(H34="drewno opałowe",'Wskaźniki emisji 2015r'!$B$11,IF(H34="olej opałowy",'Wskaźniki emisji 2015r'!$B$10,))))</f>
        <v>7.3377300000000005</v>
      </c>
      <c r="T34" s="3">
        <f t="shared" si="0"/>
        <v>5</v>
      </c>
      <c r="U34" s="3">
        <f>IF(H34="węgiel kamienny",'Wskaźniki emisji 2015r'!$D$8,IF(H34="gaz ziemny",'Wskaźniki emisji 2015r'!$D$9,IF(H34="olej opałowy",'Wskaźniki emisji 2015r'!$D$10,IF(H34="drewno opałowe",'Wskaźniki emisji 2015r'!$D$11,IF(H34="energia elektryczna",'Wskaźniki emisji 2015r'!$D$15)))))</f>
        <v>0.33920577617328518</v>
      </c>
      <c r="V34" s="5">
        <f t="shared" si="1"/>
        <v>36.688650000000003</v>
      </c>
      <c r="W34" s="5">
        <f t="shared" si="2"/>
        <v>12.445002000000001</v>
      </c>
    </row>
    <row r="35" spans="1:23" ht="15" customHeight="1">
      <c r="A35" s="198"/>
      <c r="B35" s="198"/>
      <c r="C35" s="70"/>
      <c r="D35" s="196"/>
      <c r="E35" s="70"/>
      <c r="F35" s="70"/>
      <c r="G35" s="70"/>
      <c r="H35" s="198"/>
      <c r="I35" s="70"/>
      <c r="J35" s="198"/>
      <c r="K35" s="70"/>
      <c r="L35" s="70"/>
      <c r="M35" s="70"/>
      <c r="N35" s="70"/>
      <c r="O35" s="70" t="s">
        <v>194</v>
      </c>
      <c r="P35" s="70"/>
      <c r="Q35" s="70"/>
      <c r="R35" s="198">
        <f>IF(H35="gaz ziemny",'Wskaźniki emisji 2015r'!$B$22,0)</f>
        <v>0</v>
      </c>
      <c r="S35" s="4">
        <f>IF(H35="węgiel kamienny",'Wskaźniki emisji 2015r'!$B$8,IF(H35="gaz ziemny",'Wskaźniki emisji 2015r'!$B$9,IF(H35="drewno opałowe",'Wskaźniki emisji 2015r'!$B$11,IF(H35="olej opałowy",'Wskaźniki emisji 2015r'!$B$10,))))</f>
        <v>0</v>
      </c>
      <c r="T35" s="3">
        <f t="shared" si="0"/>
        <v>0</v>
      </c>
      <c r="U35" s="3" t="b">
        <f>IF(H35="węgiel kamienny",'Wskaźniki emisji 2015r'!$D$8,IF(H35="gaz ziemny",'Wskaźniki emisji 2015r'!$D$9,IF(H35="olej opałowy",'Wskaźniki emisji 2015r'!$D$10,IF(H35="drewno opałowe",'Wskaźniki emisji 2015r'!$D$11,IF(H35="energia elektryczna",'Wskaźniki emisji 2015r'!$D$15)))))</f>
        <v>0</v>
      </c>
      <c r="V35" s="5">
        <f t="shared" si="1"/>
        <v>0</v>
      </c>
      <c r="W35" s="5">
        <f t="shared" si="2"/>
        <v>0</v>
      </c>
    </row>
    <row r="36" spans="1:23" ht="20.399999999999999">
      <c r="A36" s="120">
        <v>21</v>
      </c>
      <c r="B36" s="198" t="s">
        <v>287</v>
      </c>
      <c r="C36" s="70" t="s">
        <v>288</v>
      </c>
      <c r="D36" s="121"/>
      <c r="E36" s="70" t="s">
        <v>121</v>
      </c>
      <c r="F36" s="70">
        <v>1950</v>
      </c>
      <c r="G36" s="70">
        <v>60</v>
      </c>
      <c r="H36" s="120" t="s">
        <v>115</v>
      </c>
      <c r="I36" s="70">
        <v>4.5</v>
      </c>
      <c r="J36" s="120" t="s">
        <v>3</v>
      </c>
      <c r="K36" s="70" t="s">
        <v>122</v>
      </c>
      <c r="L36" s="70">
        <v>1</v>
      </c>
      <c r="M36" s="70" t="s">
        <v>192</v>
      </c>
      <c r="N36" s="70">
        <v>600</v>
      </c>
      <c r="O36" s="70"/>
      <c r="P36" s="70"/>
      <c r="Q36" s="70">
        <f>110*12/0.6</f>
        <v>2200</v>
      </c>
      <c r="R36" s="198">
        <f>IF(H36="gaz ziemny",'Wskaźniki emisji 2015r'!$B$22,0)</f>
        <v>0</v>
      </c>
      <c r="S36" s="4">
        <f>IF(H36="węgiel kamienny",'Wskaźniki emisji 2015r'!$B$8,IF(H36="gaz ziemny",'Wskaźniki emisji 2015r'!$B$9,IF(H36="drewno opałowe",'Wskaźniki emisji 2015r'!$B$11,IF(H36="olej opałowy",'Wskaźniki emisji 2015r'!$B$10,))))</f>
        <v>7.3377300000000005</v>
      </c>
      <c r="T36" s="3">
        <f t="shared" si="0"/>
        <v>4.5</v>
      </c>
      <c r="U36" s="3">
        <f>IF(H36="węgiel kamienny",'Wskaźniki emisji 2015r'!$D$8,IF(H36="gaz ziemny",'Wskaźniki emisji 2015r'!$D$9,IF(H36="olej opałowy",'Wskaźniki emisji 2015r'!$D$10,IF(H36="drewno opałowe",'Wskaźniki emisji 2015r'!$D$11,IF(H36="energia elektryczna",'Wskaźniki emisji 2015r'!$D$15)))))</f>
        <v>0.33920577617328518</v>
      </c>
      <c r="V36" s="5">
        <f t="shared" si="1"/>
        <v>33.019784999999999</v>
      </c>
      <c r="W36" s="5">
        <f t="shared" si="2"/>
        <v>11.2005018</v>
      </c>
    </row>
    <row r="37" spans="1:23" ht="20.399999999999999">
      <c r="A37" s="120">
        <v>22</v>
      </c>
      <c r="B37" s="198" t="s">
        <v>287</v>
      </c>
      <c r="C37" s="70" t="s">
        <v>288</v>
      </c>
      <c r="D37" s="121">
        <v>16</v>
      </c>
      <c r="E37" s="70" t="s">
        <v>121</v>
      </c>
      <c r="F37" s="70">
        <v>1954</v>
      </c>
      <c r="G37" s="70">
        <v>100</v>
      </c>
      <c r="H37" s="120" t="s">
        <v>115</v>
      </c>
      <c r="I37" s="70">
        <v>1.5</v>
      </c>
      <c r="J37" s="120" t="s">
        <v>3</v>
      </c>
      <c r="K37" s="70" t="s">
        <v>122</v>
      </c>
      <c r="L37" s="70">
        <v>2</v>
      </c>
      <c r="M37" s="70" t="s">
        <v>192</v>
      </c>
      <c r="N37" s="70">
        <v>2800</v>
      </c>
      <c r="O37" s="70" t="s">
        <v>190</v>
      </c>
      <c r="P37" s="70"/>
      <c r="Q37" s="70">
        <f>60*12/0.6</f>
        <v>1200</v>
      </c>
      <c r="R37" s="198">
        <f>IF(H37="gaz ziemny",'Wskaźniki emisji 2015r'!$B$22,0)</f>
        <v>0</v>
      </c>
      <c r="S37" s="4">
        <f>IF(H37="węgiel kamienny",'Wskaźniki emisji 2015r'!$B$8,IF(H37="gaz ziemny",'Wskaźniki emisji 2015r'!$B$9,IF(H37="drewno opałowe",'Wskaźniki emisji 2015r'!$B$11,IF(H37="olej opałowy",'Wskaźniki emisji 2015r'!$B$10,))))</f>
        <v>7.3377300000000005</v>
      </c>
      <c r="T37" s="3">
        <f t="shared" si="0"/>
        <v>1.5</v>
      </c>
      <c r="U37" s="3">
        <f>IF(H37="węgiel kamienny",'Wskaźniki emisji 2015r'!$D$8,IF(H37="gaz ziemny",'Wskaźniki emisji 2015r'!$D$9,IF(H37="olej opałowy",'Wskaźniki emisji 2015r'!$D$10,IF(H37="drewno opałowe",'Wskaźniki emisji 2015r'!$D$11,IF(H37="energia elektryczna",'Wskaźniki emisji 2015r'!$D$15)))))</f>
        <v>0.33920577617328518</v>
      </c>
      <c r="V37" s="5">
        <f t="shared" si="1"/>
        <v>11.006595000000001</v>
      </c>
      <c r="W37" s="5">
        <f t="shared" si="2"/>
        <v>3.7335006000000002</v>
      </c>
    </row>
    <row r="38" spans="1:23" ht="20.399999999999999">
      <c r="A38" s="198"/>
      <c r="B38" s="198"/>
      <c r="C38" s="70"/>
      <c r="D38" s="196"/>
      <c r="E38" s="70"/>
      <c r="F38" s="70"/>
      <c r="G38" s="70"/>
      <c r="H38" s="198" t="s">
        <v>114</v>
      </c>
      <c r="I38" s="70">
        <f>230*6/0.25</f>
        <v>5520</v>
      </c>
      <c r="J38" s="198" t="s">
        <v>3</v>
      </c>
      <c r="K38" s="70" t="s">
        <v>122</v>
      </c>
      <c r="L38" s="70"/>
      <c r="M38" s="70" t="s">
        <v>188</v>
      </c>
      <c r="N38" s="70"/>
      <c r="O38" s="70" t="s">
        <v>194</v>
      </c>
      <c r="P38" s="70"/>
      <c r="Q38" s="70"/>
      <c r="R38" s="198">
        <f>IF(H38="gaz ziemny",'Wskaźniki emisji 2015r'!$B$22,0)</f>
        <v>0.71599999999999997</v>
      </c>
      <c r="S38" s="4">
        <f>IF(H38="węgiel kamienny",'Wskaźniki emisji 2015r'!$B$8,IF(H38="gaz ziemny",'Wskaźniki emisji 2015r'!$B$9,IF(H38="drewno opałowe",'Wskaźniki emisji 2015r'!$B$11,IF(H38="olej opałowy",'Wskaźniki emisji 2015r'!$B$10,))))</f>
        <v>13.296000000000001</v>
      </c>
      <c r="T38" s="3">
        <f t="shared" si="0"/>
        <v>3.9523199999999998</v>
      </c>
      <c r="U38" s="3">
        <f>IF(H38="węgiel kamienny",'Wskaźniki emisji 2015r'!$D$8,IF(H38="gaz ziemny",'Wskaźniki emisji 2015r'!$D$9,IF(H38="olej opałowy",'Wskaźniki emisji 2015r'!$D$10,IF(H38="drewno opałowe",'Wskaźniki emisji 2015r'!$D$11,IF(H38="energia elektryczna",'Wskaźniki emisji 2015r'!$D$15)))))</f>
        <v>0.2015162454873646</v>
      </c>
      <c r="V38" s="5">
        <f t="shared" si="1"/>
        <v>52.550046720000005</v>
      </c>
      <c r="W38" s="5">
        <f t="shared" si="2"/>
        <v>10.5896881152</v>
      </c>
    </row>
    <row r="39" spans="1:23" ht="28.5" customHeight="1">
      <c r="A39" s="120">
        <v>23</v>
      </c>
      <c r="B39" s="198" t="s">
        <v>287</v>
      </c>
      <c r="C39" s="70" t="s">
        <v>288</v>
      </c>
      <c r="D39" s="196"/>
      <c r="E39" s="70" t="s">
        <v>121</v>
      </c>
      <c r="F39" s="70">
        <v>1920</v>
      </c>
      <c r="G39" s="70">
        <v>90</v>
      </c>
      <c r="H39" s="120" t="s">
        <v>115</v>
      </c>
      <c r="I39" s="70">
        <v>2</v>
      </c>
      <c r="J39" s="120" t="s">
        <v>3</v>
      </c>
      <c r="K39" s="70" t="s">
        <v>122</v>
      </c>
      <c r="L39" s="70">
        <v>2</v>
      </c>
      <c r="M39" s="70" t="s">
        <v>188</v>
      </c>
      <c r="N39" s="70">
        <v>3000</v>
      </c>
      <c r="O39" s="70" t="s">
        <v>190</v>
      </c>
      <c r="P39" s="70"/>
      <c r="Q39" s="70">
        <f>130*12/0.6</f>
        <v>2600</v>
      </c>
      <c r="R39" s="198">
        <f>IF(H39="gaz ziemny",'Wskaźniki emisji 2015r'!$B$22,0)</f>
        <v>0</v>
      </c>
      <c r="S39" s="4">
        <f>IF(H39="węgiel kamienny",'Wskaźniki emisji 2015r'!$B$8,IF(H39="gaz ziemny",'Wskaźniki emisji 2015r'!$B$9,IF(H39="drewno opałowe",'Wskaźniki emisji 2015r'!$B$11,IF(H39="olej opałowy",'Wskaźniki emisji 2015r'!$B$10,))))</f>
        <v>7.3377300000000005</v>
      </c>
      <c r="T39" s="3">
        <f t="shared" si="0"/>
        <v>2</v>
      </c>
      <c r="U39" s="3">
        <f>IF(H39="węgiel kamienny",'Wskaźniki emisji 2015r'!$D$8,IF(H39="gaz ziemny",'Wskaźniki emisji 2015r'!$D$9,IF(H39="olej opałowy",'Wskaźniki emisji 2015r'!$D$10,IF(H39="drewno opałowe",'Wskaźniki emisji 2015r'!$D$11,IF(H39="energia elektryczna",'Wskaźniki emisji 2015r'!$D$15)))))</f>
        <v>0.33920577617328518</v>
      </c>
      <c r="V39" s="5">
        <f t="shared" si="1"/>
        <v>14.675460000000001</v>
      </c>
      <c r="W39" s="5">
        <f t="shared" si="2"/>
        <v>4.9780008000000002</v>
      </c>
    </row>
    <row r="40" spans="1:23" ht="28.5" customHeight="1">
      <c r="A40" s="198"/>
      <c r="B40" s="198"/>
      <c r="C40" s="70"/>
      <c r="D40" s="303"/>
      <c r="E40" s="70"/>
      <c r="F40" s="70"/>
      <c r="G40" s="70"/>
      <c r="H40" s="198"/>
      <c r="I40" s="70"/>
      <c r="J40" s="198"/>
      <c r="K40" s="70"/>
      <c r="L40" s="70"/>
      <c r="M40" s="70"/>
      <c r="N40" s="70"/>
      <c r="O40" s="70" t="s">
        <v>194</v>
      </c>
      <c r="P40" s="70"/>
      <c r="Q40" s="70"/>
      <c r="R40" s="198"/>
      <c r="S40" s="4">
        <f>IF(H40="węgiel kamienny",'Wskaźniki emisji 2015r'!$B$8,IF(H40="gaz ziemny",'Wskaźniki emisji 2015r'!$B$9,IF(H40="drewno opałowe",'Wskaźniki emisji 2015r'!$B$11,IF(H40="olej opałowy",'Wskaźniki emisji 2015r'!$B$10,))))</f>
        <v>0</v>
      </c>
      <c r="T40" s="3">
        <f t="shared" si="0"/>
        <v>0</v>
      </c>
      <c r="U40" s="3" t="b">
        <f>IF(H40="węgiel kamienny",'Wskaźniki emisji 2015r'!$D$8,IF(H40="gaz ziemny",'Wskaźniki emisji 2015r'!$D$9,IF(H40="olej opałowy",'Wskaźniki emisji 2015r'!$D$10,IF(H40="drewno opałowe",'Wskaźniki emisji 2015r'!$D$11,IF(H40="energia elektryczna",'Wskaźniki emisji 2015r'!$D$15)))))</f>
        <v>0</v>
      </c>
      <c r="V40" s="5">
        <f t="shared" si="1"/>
        <v>0</v>
      </c>
      <c r="W40" s="5">
        <f t="shared" si="2"/>
        <v>0</v>
      </c>
    </row>
    <row r="41" spans="1:23" ht="28.5" customHeight="1">
      <c r="A41" s="120">
        <v>24</v>
      </c>
      <c r="B41" s="198" t="s">
        <v>287</v>
      </c>
      <c r="C41" s="70" t="s">
        <v>288</v>
      </c>
      <c r="D41" s="121"/>
      <c r="E41" s="70" t="s">
        <v>121</v>
      </c>
      <c r="F41" s="70">
        <v>1960</v>
      </c>
      <c r="G41" s="70">
        <v>100</v>
      </c>
      <c r="H41" s="120" t="s">
        <v>115</v>
      </c>
      <c r="I41" s="70">
        <v>3</v>
      </c>
      <c r="J41" s="120" t="s">
        <v>3</v>
      </c>
      <c r="K41" s="70" t="s">
        <v>122</v>
      </c>
      <c r="L41" s="70">
        <v>1</v>
      </c>
      <c r="M41" s="70" t="s">
        <v>192</v>
      </c>
      <c r="N41" s="70">
        <v>3000</v>
      </c>
      <c r="O41" s="70" t="s">
        <v>190</v>
      </c>
      <c r="P41" s="70" t="s">
        <v>194</v>
      </c>
      <c r="Q41" s="70">
        <f>130*12/0.6</f>
        <v>2600</v>
      </c>
      <c r="R41" s="198">
        <f>IF(H41="gaz ziemny",'Wskaźniki emisji 2015r'!$B$22,0)</f>
        <v>0</v>
      </c>
      <c r="S41" s="4">
        <f>IF(H41="węgiel kamienny",'Wskaźniki emisji 2015r'!$B$8,IF(H41="gaz ziemny",'Wskaźniki emisji 2015r'!$B$9,IF(H41="drewno opałowe",'Wskaźniki emisji 2015r'!$B$11,IF(H41="olej opałowy",'Wskaźniki emisji 2015r'!$B$10,))))</f>
        <v>7.3377300000000005</v>
      </c>
      <c r="T41" s="3">
        <f t="shared" si="0"/>
        <v>3</v>
      </c>
      <c r="U41" s="3">
        <f>IF(H41="węgiel kamienny",'Wskaźniki emisji 2015r'!$D$8,IF(H41="gaz ziemny",'Wskaźniki emisji 2015r'!$D$9,IF(H41="olej opałowy",'Wskaźniki emisji 2015r'!$D$10,IF(H41="drewno opałowe",'Wskaźniki emisji 2015r'!$D$11,IF(H41="energia elektryczna",'Wskaźniki emisji 2015r'!$D$15)))))</f>
        <v>0.33920577617328518</v>
      </c>
      <c r="V41" s="5">
        <f t="shared" si="1"/>
        <v>22.013190000000002</v>
      </c>
      <c r="W41" s="5">
        <f t="shared" si="2"/>
        <v>7.4670012000000003</v>
      </c>
    </row>
    <row r="42" spans="1:23" ht="28.5" customHeight="1">
      <c r="A42" s="198"/>
      <c r="B42" s="198"/>
      <c r="C42" s="70"/>
      <c r="D42" s="196"/>
      <c r="E42" s="70"/>
      <c r="F42" s="70"/>
      <c r="G42" s="70"/>
      <c r="H42" s="198" t="s">
        <v>163</v>
      </c>
      <c r="I42" s="70">
        <f>10</f>
        <v>10</v>
      </c>
      <c r="J42" s="198" t="s">
        <v>3</v>
      </c>
      <c r="K42" s="70" t="s">
        <v>118</v>
      </c>
      <c r="L42" s="70"/>
      <c r="M42" s="70"/>
      <c r="N42" s="70"/>
      <c r="O42" s="70"/>
      <c r="P42" s="70" t="s">
        <v>195</v>
      </c>
      <c r="Q42" s="70"/>
      <c r="R42" s="198">
        <f>IF(H42="gaz ziemny",'Wskaźniki emisji 2015r'!$B$22,0)</f>
        <v>0</v>
      </c>
      <c r="S42" s="4">
        <f>IF(H42="węgiel kamienny",'Wskaźniki emisji 2015r'!$B$8,IF(H42="gaz ziemny",'Wskaźniki emisji 2015r'!$B$9,IF(H42="drewno opałowe",'Wskaźniki emisji 2015r'!$B$11,IF(H42="olej opałowy",'Wskaźniki emisji 2015r'!$B$10,))))</f>
        <v>4.3212000000000002</v>
      </c>
      <c r="T42" s="3">
        <f t="shared" si="0"/>
        <v>10</v>
      </c>
      <c r="U42" s="3">
        <f>IF(H42="węgiel kamienny",'Wskaźniki emisji 2015r'!$D$8,IF(H42="gaz ziemny",'Wskaźniki emisji 2015r'!$D$9,IF(H42="olej opałowy",'Wskaźniki emisji 2015r'!$D$10,IF(H42="drewno opałowe",'Wskaźniki emisji 2015r'!$D$11,IF(H42="energia elektryczna",'Wskaźniki emisji 2015r'!$D$15)))))</f>
        <v>0</v>
      </c>
      <c r="V42" s="5">
        <f t="shared" si="1"/>
        <v>43.212000000000003</v>
      </c>
      <c r="W42" s="5">
        <f t="shared" si="2"/>
        <v>0</v>
      </c>
    </row>
    <row r="43" spans="1:23" ht="22.8" customHeight="1">
      <c r="A43" s="120">
        <v>25</v>
      </c>
      <c r="B43" s="198" t="s">
        <v>287</v>
      </c>
      <c r="C43" s="70" t="s">
        <v>288</v>
      </c>
      <c r="D43" s="120"/>
      <c r="E43" s="120" t="s">
        <v>121</v>
      </c>
      <c r="F43" s="120">
        <v>1936</v>
      </c>
      <c r="G43" s="119">
        <v>60</v>
      </c>
      <c r="H43" s="70" t="s">
        <v>115</v>
      </c>
      <c r="I43" s="119">
        <v>0.5</v>
      </c>
      <c r="J43" s="120" t="s">
        <v>3</v>
      </c>
      <c r="K43" s="120" t="s">
        <v>118</v>
      </c>
      <c r="L43" s="198"/>
      <c r="M43" s="198"/>
      <c r="N43" s="198"/>
      <c r="O43" s="198" t="s">
        <v>194</v>
      </c>
      <c r="P43" s="198" t="s">
        <v>190</v>
      </c>
      <c r="Q43" s="120">
        <f>100*12/0.6</f>
        <v>2000</v>
      </c>
      <c r="R43" s="198">
        <f>IF(H43="gaz ziemny",'Wskaźniki emisji 2015r'!$B$22,0)</f>
        <v>0</v>
      </c>
      <c r="S43" s="4">
        <f>IF(H43="węgiel kamienny",'Wskaźniki emisji 2015r'!$B$8,IF(H43="gaz ziemny",'Wskaźniki emisji 2015r'!$B$9,IF(H43="drewno opałowe",'Wskaźniki emisji 2015r'!$B$11,IF(H43="olej opałowy",'Wskaźniki emisji 2015r'!$B$10,))))</f>
        <v>7.3377300000000005</v>
      </c>
      <c r="T43" s="3">
        <f t="shared" si="0"/>
        <v>0.5</v>
      </c>
      <c r="U43" s="3">
        <f>IF(H43="węgiel kamienny",'Wskaźniki emisji 2015r'!$D$8,IF(H43="gaz ziemny",'Wskaźniki emisji 2015r'!$D$9,IF(H43="olej opałowy",'Wskaźniki emisji 2015r'!$D$10,IF(H43="drewno opałowe",'Wskaźniki emisji 2015r'!$D$11,IF(H43="energia elektryczna",'Wskaźniki emisji 2015r'!$D$15)))))</f>
        <v>0.33920577617328518</v>
      </c>
      <c r="V43" s="5">
        <f t="shared" si="1"/>
        <v>3.6688650000000003</v>
      </c>
      <c r="W43" s="5">
        <f t="shared" si="2"/>
        <v>1.2445002000000001</v>
      </c>
    </row>
    <row r="44" spans="1:23" ht="14.25" customHeight="1">
      <c r="A44" s="198"/>
      <c r="B44" s="198"/>
      <c r="C44" s="70"/>
      <c r="D44" s="198"/>
      <c r="E44" s="198"/>
      <c r="F44" s="198"/>
      <c r="G44" s="197"/>
      <c r="H44" s="70" t="s">
        <v>163</v>
      </c>
      <c r="I44" s="197">
        <v>10</v>
      </c>
      <c r="J44" s="198" t="s">
        <v>3</v>
      </c>
      <c r="K44" s="198" t="s">
        <v>197</v>
      </c>
      <c r="L44" s="198"/>
      <c r="M44" s="198"/>
      <c r="N44" s="198"/>
      <c r="O44" s="198"/>
      <c r="P44" s="198"/>
      <c r="Q44" s="198"/>
      <c r="R44" s="198"/>
      <c r="S44" s="4">
        <f>IF(H44="węgiel kamienny",'Wskaźniki emisji 2015r'!$B$8,IF(H44="gaz ziemny",'Wskaźniki emisji 2015r'!$B$9,IF(H44="drewno opałowe",'Wskaźniki emisji 2015r'!$B$11,IF(H44="olej opałowy",'Wskaźniki emisji 2015r'!$B$10,))))</f>
        <v>4.3212000000000002</v>
      </c>
      <c r="T44" s="3">
        <f t="shared" si="0"/>
        <v>10</v>
      </c>
      <c r="U44" s="3">
        <f>IF(H44="węgiel kamienny",'Wskaźniki emisji 2015r'!$D$8,IF(H44="gaz ziemny",'Wskaźniki emisji 2015r'!$D$9,IF(H44="olej opałowy",'Wskaźniki emisji 2015r'!$D$10,IF(H44="drewno opałowe",'Wskaźniki emisji 2015r'!$D$11,IF(H44="energia elektryczna",'Wskaźniki emisji 2015r'!$D$15)))))</f>
        <v>0</v>
      </c>
      <c r="V44" s="5">
        <f t="shared" si="1"/>
        <v>43.212000000000003</v>
      </c>
      <c r="W44" s="5">
        <f t="shared" si="2"/>
        <v>0</v>
      </c>
    </row>
    <row r="45" spans="1:23" ht="20.399999999999999">
      <c r="A45" s="120">
        <v>26</v>
      </c>
      <c r="B45" s="198" t="s">
        <v>287</v>
      </c>
      <c r="C45" s="198" t="s">
        <v>288</v>
      </c>
      <c r="D45" s="198"/>
      <c r="E45" s="198" t="s">
        <v>121</v>
      </c>
      <c r="F45" s="120">
        <v>1968</v>
      </c>
      <c r="G45" s="74">
        <v>120</v>
      </c>
      <c r="H45" s="70" t="s">
        <v>115</v>
      </c>
      <c r="I45" s="119">
        <v>4</v>
      </c>
      <c r="J45" s="120" t="s">
        <v>3</v>
      </c>
      <c r="K45" s="120" t="s">
        <v>118</v>
      </c>
      <c r="L45" s="198">
        <v>1</v>
      </c>
      <c r="M45" s="198" t="s">
        <v>188</v>
      </c>
      <c r="N45" s="198">
        <v>250</v>
      </c>
      <c r="O45" s="198" t="s">
        <v>190</v>
      </c>
      <c r="P45" s="198"/>
      <c r="Q45" s="120">
        <f>130*12/0.6</f>
        <v>2600</v>
      </c>
      <c r="R45" s="198">
        <f>IF(H45="gaz ziemny",'Wskaźniki emisji 2015r'!$B$22,0)</f>
        <v>0</v>
      </c>
      <c r="S45" s="4">
        <f>IF(H45="węgiel kamienny",'Wskaźniki emisji 2015r'!$B$8,IF(H45="gaz ziemny",'Wskaźniki emisji 2015r'!$B$9,IF(H45="drewno opałowe",'Wskaźniki emisji 2015r'!$B$11,IF(H45="olej opałowy",'Wskaźniki emisji 2015r'!$B$10,))))</f>
        <v>7.3377300000000005</v>
      </c>
      <c r="T45" s="3">
        <f t="shared" si="0"/>
        <v>4</v>
      </c>
      <c r="U45" s="3">
        <f>IF(H45="węgiel kamienny",'Wskaźniki emisji 2015r'!$D$8,IF(H45="gaz ziemny",'Wskaźniki emisji 2015r'!$D$9,IF(H45="olej opałowy",'Wskaźniki emisji 2015r'!$D$10,IF(H45="drewno opałowe",'Wskaźniki emisji 2015r'!$D$11,IF(H45="energia elektryczna",'Wskaźniki emisji 2015r'!$D$15)))))</f>
        <v>0.33920577617328518</v>
      </c>
      <c r="V45" s="5">
        <f t="shared" si="1"/>
        <v>29.350920000000002</v>
      </c>
      <c r="W45" s="5">
        <f t="shared" si="2"/>
        <v>9.9560016000000005</v>
      </c>
    </row>
    <row r="46" spans="1:23" ht="20.399999999999999">
      <c r="A46" s="198"/>
      <c r="B46" s="198"/>
      <c r="C46" s="198"/>
      <c r="D46" s="198"/>
      <c r="E46" s="198"/>
      <c r="F46" s="198"/>
      <c r="G46" s="74"/>
      <c r="H46" s="70"/>
      <c r="I46" s="197"/>
      <c r="J46" s="198"/>
      <c r="K46" s="198"/>
      <c r="L46" s="198"/>
      <c r="M46" s="198"/>
      <c r="N46" s="198"/>
      <c r="O46" s="198" t="s">
        <v>194</v>
      </c>
      <c r="P46" s="198"/>
      <c r="Q46" s="198"/>
      <c r="R46" s="198"/>
      <c r="S46" s="4">
        <f>IF(H46="węgiel kamienny",'Wskaźniki emisji 2015r'!$B$8,IF(H46="gaz ziemny",'Wskaźniki emisji 2015r'!$B$9,IF(H46="drewno opałowe",'Wskaźniki emisji 2015r'!$B$11,IF(H46="olej opałowy",'Wskaźniki emisji 2015r'!$B$10,))))</f>
        <v>0</v>
      </c>
      <c r="T46" s="3">
        <f t="shared" si="0"/>
        <v>0</v>
      </c>
      <c r="U46" s="3" t="b">
        <f>IF(H46="węgiel kamienny",'Wskaźniki emisji 2015r'!$D$8,IF(H46="gaz ziemny",'Wskaźniki emisji 2015r'!$D$9,IF(H46="olej opałowy",'Wskaźniki emisji 2015r'!$D$10,IF(H46="drewno opałowe",'Wskaźniki emisji 2015r'!$D$11,IF(H46="energia elektryczna",'Wskaźniki emisji 2015r'!$D$15)))))</f>
        <v>0</v>
      </c>
      <c r="V46" s="5">
        <f t="shared" si="1"/>
        <v>0</v>
      </c>
      <c r="W46" s="5">
        <f t="shared" si="2"/>
        <v>0</v>
      </c>
    </row>
    <row r="47" spans="1:23" ht="20.399999999999999">
      <c r="A47" s="120">
        <v>27</v>
      </c>
      <c r="B47" s="198" t="s">
        <v>287</v>
      </c>
      <c r="C47" s="120" t="s">
        <v>299</v>
      </c>
      <c r="D47" s="120" t="s">
        <v>304</v>
      </c>
      <c r="E47" s="120" t="s">
        <v>121</v>
      </c>
      <c r="F47" s="120">
        <v>2002</v>
      </c>
      <c r="G47" s="119">
        <v>145</v>
      </c>
      <c r="H47" s="70" t="s">
        <v>114</v>
      </c>
      <c r="I47" s="119">
        <f>(500*12/0.25)*'Wskaźniki emisji 2010r'!B22/1000</f>
        <v>17.184000000000001</v>
      </c>
      <c r="J47" s="120" t="s">
        <v>3</v>
      </c>
      <c r="K47" s="120" t="s">
        <v>118</v>
      </c>
      <c r="L47" s="198">
        <v>2</v>
      </c>
      <c r="M47" s="198" t="s">
        <v>12</v>
      </c>
      <c r="N47" s="198">
        <v>1000</v>
      </c>
      <c r="O47" s="198"/>
      <c r="P47" s="198"/>
      <c r="Q47" s="120">
        <f>250*12/0.6</f>
        <v>5000</v>
      </c>
      <c r="R47" s="198">
        <f>IF(H47="gaz ziemny",'Wskaźniki emisji 2015r'!$B$22,0)</f>
        <v>0.71599999999999997</v>
      </c>
      <c r="S47" s="4">
        <f>IF(H47="węgiel kamienny",'Wskaźniki emisji 2015r'!$B$8,IF(H47="gaz ziemny",'Wskaźniki emisji 2015r'!$B$9,IF(H47="drewno opałowe",'Wskaźniki emisji 2015r'!$B$11,IF(H47="olej opałowy",'Wskaźniki emisji 2015r'!$B$10,))))</f>
        <v>13.296000000000001</v>
      </c>
      <c r="T47" s="3">
        <f t="shared" si="0"/>
        <v>1.2303744E-2</v>
      </c>
      <c r="U47" s="3">
        <f>IF(H47="węgiel kamienny",'Wskaźniki emisji 2015r'!$D$8,IF(H47="gaz ziemny",'Wskaźniki emisji 2015r'!$D$9,IF(H47="olej opałowy",'Wskaźniki emisji 2015r'!$D$10,IF(H47="drewno opałowe",'Wskaźniki emisji 2015r'!$D$11,IF(H47="energia elektryczna",'Wskaźniki emisji 2015r'!$D$15)))))</f>
        <v>0.2015162454873646</v>
      </c>
      <c r="V47" s="5">
        <f t="shared" si="1"/>
        <v>0.16359058022400003</v>
      </c>
      <c r="W47" s="5">
        <f t="shared" si="2"/>
        <v>3.2966159523840001E-2</v>
      </c>
    </row>
    <row r="48" spans="1:23" ht="20.399999999999999">
      <c r="A48" s="120">
        <v>28</v>
      </c>
      <c r="B48" s="198" t="s">
        <v>287</v>
      </c>
      <c r="C48" s="120" t="s">
        <v>299</v>
      </c>
      <c r="D48" s="120"/>
      <c r="E48" s="120" t="s">
        <v>121</v>
      </c>
      <c r="F48" s="120">
        <v>1970</v>
      </c>
      <c r="G48" s="119">
        <v>100</v>
      </c>
      <c r="H48" s="70" t="s">
        <v>115</v>
      </c>
      <c r="I48" s="119">
        <v>3</v>
      </c>
      <c r="J48" s="120" t="s">
        <v>3</v>
      </c>
      <c r="K48" s="120" t="s">
        <v>122</v>
      </c>
      <c r="L48" s="198">
        <v>1</v>
      </c>
      <c r="M48" s="198" t="s">
        <v>12</v>
      </c>
      <c r="N48" s="198">
        <v>500</v>
      </c>
      <c r="O48" s="198" t="s">
        <v>194</v>
      </c>
      <c r="P48" s="198" t="s">
        <v>193</v>
      </c>
      <c r="Q48" s="120">
        <f>250*12/0.6</f>
        <v>5000</v>
      </c>
      <c r="R48" s="198">
        <f>IF(H48="gaz ziemny",'Wskaźniki emisji 2015r'!$B$22,0)</f>
        <v>0</v>
      </c>
      <c r="S48" s="4">
        <f>IF(H48="węgiel kamienny",'Wskaźniki emisji 2015r'!$B$8,IF(H48="gaz ziemny",'Wskaźniki emisji 2015r'!$B$9,IF(H48="drewno opałowe",'Wskaźniki emisji 2015r'!$B$11,IF(H48="olej opałowy",'Wskaźniki emisji 2015r'!$B$10,))))</f>
        <v>7.3377300000000005</v>
      </c>
      <c r="T48" s="3">
        <f t="shared" si="0"/>
        <v>3</v>
      </c>
      <c r="U48" s="3">
        <f>IF(H48="węgiel kamienny",'Wskaźniki emisji 2015r'!$D$8,IF(H48="gaz ziemny",'Wskaźniki emisji 2015r'!$D$9,IF(H48="olej opałowy",'Wskaźniki emisji 2015r'!$D$10,IF(H48="drewno opałowe",'Wskaźniki emisji 2015r'!$D$11,IF(H48="energia elektryczna",'Wskaźniki emisji 2015r'!$D$15)))))</f>
        <v>0.33920577617328518</v>
      </c>
      <c r="V48" s="5">
        <f t="shared" si="1"/>
        <v>22.013190000000002</v>
      </c>
      <c r="W48" s="5">
        <f t="shared" si="2"/>
        <v>7.4670012000000003</v>
      </c>
    </row>
    <row r="49" spans="1:23">
      <c r="A49" s="198"/>
      <c r="B49" s="198"/>
      <c r="C49" s="198"/>
      <c r="D49" s="198"/>
      <c r="E49" s="198"/>
      <c r="F49" s="198"/>
      <c r="G49" s="197"/>
      <c r="H49" s="70" t="s">
        <v>163</v>
      </c>
      <c r="I49" s="197">
        <v>10</v>
      </c>
      <c r="J49" s="198" t="s">
        <v>3</v>
      </c>
      <c r="K49" s="198" t="s">
        <v>122</v>
      </c>
      <c r="L49" s="198"/>
      <c r="M49" s="198"/>
      <c r="N49" s="198"/>
      <c r="O49" s="198" t="s">
        <v>190</v>
      </c>
      <c r="P49" s="198"/>
      <c r="Q49" s="198"/>
      <c r="R49" s="198"/>
      <c r="S49" s="4">
        <f>IF(H49="węgiel kamienny",'Wskaźniki emisji 2015r'!$B$8,IF(H49="gaz ziemny",'Wskaźniki emisji 2015r'!$B$9,IF(H49="drewno opałowe",'Wskaźniki emisji 2015r'!$B$11,IF(H49="olej opałowy",'Wskaźniki emisji 2015r'!$B$10,))))</f>
        <v>4.3212000000000002</v>
      </c>
      <c r="T49" s="3">
        <f t="shared" si="0"/>
        <v>10</v>
      </c>
      <c r="U49" s="3">
        <f>IF(H49="węgiel kamienny",'Wskaźniki emisji 2015r'!$D$8,IF(H49="gaz ziemny",'Wskaźniki emisji 2015r'!$D$9,IF(H49="olej opałowy",'Wskaźniki emisji 2015r'!$D$10,IF(H49="drewno opałowe",'Wskaźniki emisji 2015r'!$D$11,IF(H49="energia elektryczna",'Wskaźniki emisji 2015r'!$D$15)))))</f>
        <v>0</v>
      </c>
      <c r="V49" s="5">
        <f t="shared" si="1"/>
        <v>43.212000000000003</v>
      </c>
      <c r="W49" s="5">
        <f t="shared" si="2"/>
        <v>0</v>
      </c>
    </row>
    <row r="50" spans="1:23" ht="18" customHeight="1">
      <c r="A50" s="120">
        <v>29</v>
      </c>
      <c r="B50" s="198" t="s">
        <v>287</v>
      </c>
      <c r="C50" s="198" t="s">
        <v>299</v>
      </c>
      <c r="D50" s="120"/>
      <c r="E50" s="120" t="s">
        <v>117</v>
      </c>
      <c r="F50" s="120">
        <v>1994</v>
      </c>
      <c r="G50" s="119">
        <v>90</v>
      </c>
      <c r="H50" s="70" t="s">
        <v>115</v>
      </c>
      <c r="I50" s="119">
        <v>3</v>
      </c>
      <c r="J50" s="120" t="s">
        <v>3</v>
      </c>
      <c r="K50" s="120" t="s">
        <v>118</v>
      </c>
      <c r="L50" s="198">
        <v>2</v>
      </c>
      <c r="M50" s="198" t="s">
        <v>192</v>
      </c>
      <c r="N50" s="198">
        <v>1000</v>
      </c>
      <c r="O50" s="198" t="s">
        <v>194</v>
      </c>
      <c r="P50" s="198"/>
      <c r="Q50" s="120">
        <f>200*12/0.6</f>
        <v>4000</v>
      </c>
      <c r="R50" s="198">
        <f>IF(H50="gaz ziemny",'Wskaźniki emisji 2015r'!$B$22,0)</f>
        <v>0</v>
      </c>
      <c r="S50" s="4">
        <f>IF(H50="węgiel kamienny",'Wskaźniki emisji 2015r'!$B$8,IF(H50="gaz ziemny",'Wskaźniki emisji 2015r'!$B$9,IF(H50="drewno opałowe",'Wskaźniki emisji 2015r'!$B$11,IF(H50="olej opałowy",'Wskaźniki emisji 2015r'!$B$10,))))</f>
        <v>7.3377300000000005</v>
      </c>
      <c r="T50" s="3">
        <f t="shared" si="0"/>
        <v>3</v>
      </c>
      <c r="U50" s="3">
        <f>IF(H50="węgiel kamienny",'Wskaźniki emisji 2015r'!$D$8,IF(H50="gaz ziemny",'Wskaźniki emisji 2015r'!$D$9,IF(H50="olej opałowy",'Wskaźniki emisji 2015r'!$D$10,IF(H50="drewno opałowe",'Wskaźniki emisji 2015r'!$D$11,IF(H50="energia elektryczna",'Wskaźniki emisji 2015r'!$D$15)))))</f>
        <v>0.33920577617328518</v>
      </c>
      <c r="V50" s="5">
        <f t="shared" si="1"/>
        <v>22.013190000000002</v>
      </c>
      <c r="W50" s="5">
        <f t="shared" si="2"/>
        <v>7.4670012000000003</v>
      </c>
    </row>
    <row r="51" spans="1:23" ht="18.75" customHeight="1">
      <c r="A51" s="228">
        <v>30</v>
      </c>
      <c r="B51" s="198" t="s">
        <v>300</v>
      </c>
      <c r="C51" s="228" t="s">
        <v>305</v>
      </c>
      <c r="D51" s="228"/>
      <c r="E51" s="228" t="s">
        <v>117</v>
      </c>
      <c r="F51" s="228">
        <v>1967</v>
      </c>
      <c r="G51" s="229">
        <v>120</v>
      </c>
      <c r="H51" s="70" t="s">
        <v>115</v>
      </c>
      <c r="I51" s="119">
        <v>4</v>
      </c>
      <c r="J51" s="120" t="s">
        <v>3</v>
      </c>
      <c r="K51" s="120" t="s">
        <v>118</v>
      </c>
      <c r="L51" s="198"/>
      <c r="M51" s="198"/>
      <c r="N51" s="198"/>
      <c r="O51" s="198" t="s">
        <v>190</v>
      </c>
      <c r="P51" s="198" t="s">
        <v>195</v>
      </c>
      <c r="Q51" s="120">
        <f>100*12/0.6</f>
        <v>2000</v>
      </c>
      <c r="R51" s="198">
        <f>IF(H51="gaz ziemny",'Wskaźniki emisji 2015r'!$B$22,0)</f>
        <v>0</v>
      </c>
      <c r="S51" s="4">
        <f>IF(H51="węgiel kamienny",'Wskaźniki emisji 2015r'!$B$8,IF(H51="gaz ziemny",'Wskaźniki emisji 2015r'!$B$9,IF(H51="drewno opałowe",'Wskaźniki emisji 2015r'!$B$11,IF(H51="olej opałowy",'Wskaźniki emisji 2015r'!$B$10,))))</f>
        <v>7.3377300000000005</v>
      </c>
      <c r="T51" s="3">
        <f t="shared" si="0"/>
        <v>4</v>
      </c>
      <c r="U51" s="3">
        <f>IF(H51="węgiel kamienny",'Wskaźniki emisji 2015r'!$D$8,IF(H51="gaz ziemny",'Wskaźniki emisji 2015r'!$D$9,IF(H51="olej opałowy",'Wskaźniki emisji 2015r'!$D$10,IF(H51="drewno opałowe",'Wskaźniki emisji 2015r'!$D$11,IF(H51="energia elektryczna",'Wskaźniki emisji 2015r'!$D$15)))))</f>
        <v>0.33920577617328518</v>
      </c>
      <c r="V51" s="5">
        <f t="shared" si="1"/>
        <v>29.350920000000002</v>
      </c>
      <c r="W51" s="5">
        <f t="shared" si="2"/>
        <v>9.9560016000000005</v>
      </c>
    </row>
    <row r="52" spans="1:23" ht="18.75" customHeight="1">
      <c r="A52" s="228"/>
      <c r="B52" s="198"/>
      <c r="C52" s="228"/>
      <c r="D52" s="228"/>
      <c r="E52" s="228"/>
      <c r="F52" s="228"/>
      <c r="G52" s="229"/>
      <c r="H52" s="70" t="s">
        <v>163</v>
      </c>
      <c r="I52" s="197">
        <v>5</v>
      </c>
      <c r="J52" s="198" t="s">
        <v>3</v>
      </c>
      <c r="K52" s="198"/>
      <c r="L52" s="198"/>
      <c r="M52" s="198"/>
      <c r="N52" s="198"/>
      <c r="O52" s="198"/>
      <c r="P52" s="198"/>
      <c r="Q52" s="198"/>
      <c r="R52" s="198"/>
      <c r="S52" s="4">
        <f>IF(H52="węgiel kamienny",'Wskaźniki emisji 2015r'!$B$8,IF(H52="gaz ziemny",'Wskaźniki emisji 2015r'!$B$9,IF(H52="drewno opałowe",'Wskaźniki emisji 2015r'!$B$11,IF(H52="olej opałowy",'Wskaźniki emisji 2015r'!$B$10,))))</f>
        <v>4.3212000000000002</v>
      </c>
      <c r="T52" s="3">
        <f t="shared" si="0"/>
        <v>5</v>
      </c>
      <c r="U52" s="3">
        <f>IF(H52="węgiel kamienny",'Wskaźniki emisji 2015r'!$D$8,IF(H52="gaz ziemny",'Wskaźniki emisji 2015r'!$D$9,IF(H52="olej opałowy",'Wskaźniki emisji 2015r'!$D$10,IF(H52="drewno opałowe",'Wskaźniki emisji 2015r'!$D$11,IF(H52="energia elektryczna",'Wskaźniki emisji 2015r'!$D$15)))))</f>
        <v>0</v>
      </c>
      <c r="V52" s="5">
        <f t="shared" si="1"/>
        <v>21.606000000000002</v>
      </c>
      <c r="W52" s="5">
        <f t="shared" si="2"/>
        <v>0</v>
      </c>
    </row>
    <row r="53" spans="1:23" ht="18.75" customHeight="1">
      <c r="A53" s="120">
        <v>31</v>
      </c>
      <c r="B53" s="198" t="s">
        <v>300</v>
      </c>
      <c r="C53" s="228" t="s">
        <v>305</v>
      </c>
      <c r="D53" s="228"/>
      <c r="E53" s="228" t="s">
        <v>117</v>
      </c>
      <c r="F53" s="120">
        <v>1965</v>
      </c>
      <c r="G53" s="119">
        <v>80</v>
      </c>
      <c r="H53" s="70" t="s">
        <v>115</v>
      </c>
      <c r="I53" s="119">
        <v>12</v>
      </c>
      <c r="J53" s="120" t="s">
        <v>3</v>
      </c>
      <c r="K53" s="120" t="s">
        <v>118</v>
      </c>
      <c r="L53" s="198">
        <v>2</v>
      </c>
      <c r="M53" s="198" t="s">
        <v>188</v>
      </c>
      <c r="N53" s="198">
        <v>1500</v>
      </c>
      <c r="O53" s="198" t="s">
        <v>190</v>
      </c>
      <c r="P53" s="198" t="s">
        <v>194</v>
      </c>
      <c r="Q53" s="120">
        <f>150*12/0.6</f>
        <v>3000</v>
      </c>
      <c r="R53" s="198">
        <f>IF(H53="gaz ziemny",'Wskaźniki emisji 2015r'!$B$22,0)</f>
        <v>0</v>
      </c>
      <c r="S53" s="4">
        <f>IF(H53="węgiel kamienny",'Wskaźniki emisji 2015r'!$B$8,IF(H53="gaz ziemny",'Wskaźniki emisji 2015r'!$B$9,IF(H53="drewno opałowe",'Wskaźniki emisji 2015r'!$B$11,IF(H53="olej opałowy",'Wskaźniki emisji 2015r'!$B$10,))))</f>
        <v>7.3377300000000005</v>
      </c>
      <c r="T53" s="3">
        <f t="shared" si="0"/>
        <v>12</v>
      </c>
      <c r="U53" s="3">
        <f>IF(H53="węgiel kamienny",'Wskaźniki emisji 2015r'!$D$8,IF(H53="gaz ziemny",'Wskaźniki emisji 2015r'!$D$9,IF(H53="olej opałowy",'Wskaźniki emisji 2015r'!$D$10,IF(H53="drewno opałowe",'Wskaźniki emisji 2015r'!$D$11,IF(H53="energia elektryczna",'Wskaźniki emisji 2015r'!$D$15)))))</f>
        <v>0.33920577617328518</v>
      </c>
      <c r="V53" s="5">
        <f t="shared" si="1"/>
        <v>88.052760000000006</v>
      </c>
      <c r="W53" s="5">
        <f t="shared" si="2"/>
        <v>29.868004800000001</v>
      </c>
    </row>
    <row r="54" spans="1:23" ht="15" customHeight="1">
      <c r="A54" s="120">
        <v>32</v>
      </c>
      <c r="B54" s="198" t="s">
        <v>300</v>
      </c>
      <c r="C54" s="228" t="s">
        <v>305</v>
      </c>
      <c r="D54" s="120"/>
      <c r="E54" s="120" t="s">
        <v>121</v>
      </c>
      <c r="F54" s="120">
        <v>2013</v>
      </c>
      <c r="G54" s="119">
        <v>135</v>
      </c>
      <c r="H54" s="70" t="s">
        <v>115</v>
      </c>
      <c r="I54" s="119">
        <v>0</v>
      </c>
      <c r="J54" s="120" t="s">
        <v>3</v>
      </c>
      <c r="K54" s="120" t="s">
        <v>118</v>
      </c>
      <c r="L54" s="198">
        <v>4</v>
      </c>
      <c r="M54" s="198" t="s">
        <v>188</v>
      </c>
      <c r="N54" s="198">
        <v>2000</v>
      </c>
      <c r="O54" s="198"/>
      <c r="P54" s="198"/>
      <c r="Q54" s="120">
        <f>100*12/0.6</f>
        <v>2000</v>
      </c>
      <c r="R54" s="198">
        <f>IF(H54="gaz ziemny",'Wskaźniki emisji 2015r'!$B$22,0)</f>
        <v>0</v>
      </c>
      <c r="S54" s="4">
        <f>IF(H54="węgiel kamienny",'Wskaźniki emisji 2015r'!$B$8,IF(H54="gaz ziemny",'Wskaźniki emisji 2015r'!$B$9,IF(H54="drewno opałowe",'Wskaźniki emisji 2015r'!$B$11,IF(H54="olej opałowy",'Wskaźniki emisji 2015r'!$B$10,))))</f>
        <v>7.3377300000000005</v>
      </c>
      <c r="T54" s="3">
        <f t="shared" si="0"/>
        <v>0</v>
      </c>
      <c r="U54" s="3">
        <f>IF(H54="węgiel kamienny",'Wskaźniki emisji 2015r'!$D$8,IF(H54="gaz ziemny",'Wskaźniki emisji 2015r'!$D$9,IF(H54="olej opałowy",'Wskaźniki emisji 2015r'!$D$10,IF(H54="drewno opałowe",'Wskaźniki emisji 2015r'!$D$11,IF(H54="energia elektryczna",'Wskaźniki emisji 2015r'!$D$15)))))</f>
        <v>0.33920577617328518</v>
      </c>
      <c r="V54" s="5">
        <f t="shared" si="1"/>
        <v>0</v>
      </c>
      <c r="W54" s="5">
        <f t="shared" si="2"/>
        <v>0</v>
      </c>
    </row>
    <row r="55" spans="1:23" ht="15" customHeight="1">
      <c r="A55" s="198"/>
      <c r="B55" s="198"/>
      <c r="C55" s="228"/>
      <c r="D55" s="198"/>
      <c r="E55" s="198"/>
      <c r="F55" s="198"/>
      <c r="G55" s="197"/>
      <c r="H55" s="70" t="s">
        <v>114</v>
      </c>
      <c r="I55" s="197">
        <v>0</v>
      </c>
      <c r="J55" s="198" t="s">
        <v>3</v>
      </c>
      <c r="K55" s="198"/>
      <c r="L55" s="198"/>
      <c r="M55" s="198"/>
      <c r="N55" s="198"/>
      <c r="O55" s="198"/>
      <c r="P55" s="198"/>
      <c r="Q55" s="198"/>
      <c r="R55" s="198"/>
      <c r="S55" s="4">
        <f>IF(H55="węgiel kamienny",'Wskaźniki emisji 2015r'!$B$8,IF(H55="gaz ziemny",'Wskaźniki emisji 2015r'!$B$9,IF(H55="drewno opałowe",'Wskaźniki emisji 2015r'!$B$11,IF(H55="olej opałowy",'Wskaźniki emisji 2015r'!$B$10,))))</f>
        <v>13.296000000000001</v>
      </c>
      <c r="T55" s="3">
        <f t="shared" si="0"/>
        <v>0</v>
      </c>
      <c r="U55" s="3">
        <f>IF(H55="węgiel kamienny",'Wskaźniki emisji 2015r'!$D$8,IF(H55="gaz ziemny",'Wskaźniki emisji 2015r'!$D$9,IF(H55="olej opałowy",'Wskaźniki emisji 2015r'!$D$10,IF(H55="drewno opałowe",'Wskaźniki emisji 2015r'!$D$11,IF(H55="energia elektryczna",'Wskaźniki emisji 2015r'!$D$15)))))</f>
        <v>0.2015162454873646</v>
      </c>
      <c r="V55" s="5">
        <f t="shared" si="1"/>
        <v>0</v>
      </c>
      <c r="W55" s="5">
        <f t="shared" si="2"/>
        <v>0</v>
      </c>
    </row>
    <row r="56" spans="1:23" ht="13.5" customHeight="1">
      <c r="A56" s="120">
        <v>33</v>
      </c>
      <c r="B56" s="198" t="s">
        <v>287</v>
      </c>
      <c r="C56" s="120" t="s">
        <v>299</v>
      </c>
      <c r="D56" s="120">
        <v>2</v>
      </c>
      <c r="E56" s="120" t="s">
        <v>117</v>
      </c>
      <c r="F56" s="120">
        <v>1950</v>
      </c>
      <c r="G56" s="119">
        <v>50</v>
      </c>
      <c r="H56" s="70" t="s">
        <v>115</v>
      </c>
      <c r="I56" s="119">
        <v>4</v>
      </c>
      <c r="J56" s="120" t="s">
        <v>3</v>
      </c>
      <c r="K56" s="120" t="s">
        <v>118</v>
      </c>
      <c r="L56" s="198">
        <v>3</v>
      </c>
      <c r="M56" s="198" t="s">
        <v>12</v>
      </c>
      <c r="N56" s="198">
        <v>1500</v>
      </c>
      <c r="O56" s="198"/>
      <c r="P56" s="198" t="s">
        <v>195</v>
      </c>
      <c r="Q56" s="120">
        <f>110*12/0.6</f>
        <v>2200</v>
      </c>
      <c r="R56" s="198">
        <f>IF(H56="gaz ziemny",'Wskaźniki emisji 2015r'!$B$22,0)</f>
        <v>0</v>
      </c>
      <c r="S56" s="4">
        <f>IF(H56="węgiel kamienny",'Wskaźniki emisji 2015r'!$B$8,IF(H56="gaz ziemny",'Wskaźniki emisji 2015r'!$B$9,IF(H56="drewno opałowe",'Wskaźniki emisji 2015r'!$B$11,IF(H56="olej opałowy",'Wskaźniki emisji 2015r'!$B$10,))))</f>
        <v>7.3377300000000005</v>
      </c>
      <c r="T56" s="3">
        <f t="shared" si="0"/>
        <v>4</v>
      </c>
      <c r="U56" s="3">
        <f>IF(H56="węgiel kamienny",'Wskaźniki emisji 2015r'!$D$8,IF(H56="gaz ziemny",'Wskaźniki emisji 2015r'!$D$9,IF(H56="olej opałowy",'Wskaźniki emisji 2015r'!$D$10,IF(H56="drewno opałowe",'Wskaźniki emisji 2015r'!$D$11,IF(H56="energia elektryczna",'Wskaźniki emisji 2015r'!$D$15)))))</f>
        <v>0.33920577617328518</v>
      </c>
      <c r="V56" s="5">
        <f t="shared" si="1"/>
        <v>29.350920000000002</v>
      </c>
      <c r="W56" s="5">
        <f t="shared" si="2"/>
        <v>9.9560016000000005</v>
      </c>
    </row>
    <row r="57" spans="1:23" ht="13.5" customHeight="1">
      <c r="A57" s="198"/>
      <c r="B57" s="198"/>
      <c r="C57" s="198"/>
      <c r="D57" s="198"/>
      <c r="E57" s="198"/>
      <c r="F57" s="198"/>
      <c r="G57" s="197"/>
      <c r="H57" s="70"/>
      <c r="I57" s="197"/>
      <c r="J57" s="198"/>
      <c r="K57" s="198"/>
      <c r="L57" s="198"/>
      <c r="M57" s="198" t="s">
        <v>192</v>
      </c>
      <c r="N57" s="198"/>
      <c r="O57" s="198"/>
      <c r="P57" s="198"/>
      <c r="Q57" s="198"/>
      <c r="R57" s="198">
        <f>IF(H57="gaz ziemny",'Wskaźniki emisji 2015r'!$B$22,0)</f>
        <v>0</v>
      </c>
      <c r="S57" s="4">
        <f>IF(H57="węgiel kamienny",'Wskaźniki emisji 2015r'!$B$8,IF(H57="gaz ziemny",'Wskaźniki emisji 2015r'!$B$9,IF(H57="drewno opałowe",'Wskaźniki emisji 2015r'!$B$11,IF(H57="olej opałowy",'Wskaźniki emisji 2015r'!$B$10,))))</f>
        <v>0</v>
      </c>
      <c r="T57" s="3">
        <f t="shared" si="0"/>
        <v>0</v>
      </c>
      <c r="U57" s="3" t="b">
        <f>IF(H57="węgiel kamienny",'Wskaźniki emisji 2015r'!$D$8,IF(H57="gaz ziemny",'Wskaźniki emisji 2015r'!$D$9,IF(H57="olej opałowy",'Wskaźniki emisji 2015r'!$D$10,IF(H57="drewno opałowe",'Wskaźniki emisji 2015r'!$D$11,IF(H57="energia elektryczna",'Wskaźniki emisji 2015r'!$D$15)))))</f>
        <v>0</v>
      </c>
      <c r="V57" s="5">
        <f t="shared" si="1"/>
        <v>0</v>
      </c>
      <c r="W57" s="5">
        <f t="shared" si="2"/>
        <v>0</v>
      </c>
    </row>
    <row r="58" spans="1:23" ht="13.5" customHeight="1">
      <c r="A58" s="120">
        <v>34</v>
      </c>
      <c r="B58" s="198" t="s">
        <v>287</v>
      </c>
      <c r="C58" s="198" t="s">
        <v>299</v>
      </c>
      <c r="D58" s="120">
        <v>6</v>
      </c>
      <c r="E58" s="120" t="s">
        <v>121</v>
      </c>
      <c r="F58" s="120">
        <v>1970</v>
      </c>
      <c r="G58" s="119">
        <v>100</v>
      </c>
      <c r="H58" s="70" t="s">
        <v>115</v>
      </c>
      <c r="I58" s="119">
        <v>3</v>
      </c>
      <c r="J58" s="120" t="s">
        <v>3</v>
      </c>
      <c r="K58" s="120" t="s">
        <v>118</v>
      </c>
      <c r="L58" s="198">
        <v>1</v>
      </c>
      <c r="M58" s="198" t="s">
        <v>188</v>
      </c>
      <c r="N58" s="198">
        <v>500</v>
      </c>
      <c r="O58" s="198" t="s">
        <v>190</v>
      </c>
      <c r="P58" s="198" t="s">
        <v>194</v>
      </c>
      <c r="Q58" s="120">
        <f>300*12/0.6</f>
        <v>6000</v>
      </c>
      <c r="R58" s="198">
        <f>IF(H58="gaz ziemny",'Wskaźniki emisji 2015r'!$B$22,0)</f>
        <v>0</v>
      </c>
      <c r="S58" s="4">
        <f>IF(H58="węgiel kamienny",'Wskaźniki emisji 2015r'!$B$8,IF(H58="gaz ziemny",'Wskaźniki emisji 2015r'!$B$9,IF(H58="drewno opałowe",'Wskaźniki emisji 2015r'!$B$11,IF(H58="olej opałowy",'Wskaźniki emisji 2015r'!$B$10,))))</f>
        <v>7.3377300000000005</v>
      </c>
      <c r="T58" s="3">
        <f t="shared" si="0"/>
        <v>3</v>
      </c>
      <c r="U58" s="3">
        <f>IF(H58="węgiel kamienny",'Wskaźniki emisji 2015r'!$D$8,IF(H58="gaz ziemny",'Wskaźniki emisji 2015r'!$D$9,IF(H58="olej opałowy",'Wskaźniki emisji 2015r'!$D$10,IF(H58="drewno opałowe",'Wskaźniki emisji 2015r'!$D$11,IF(H58="energia elektryczna",'Wskaźniki emisji 2015r'!$D$15)))))</f>
        <v>0.33920577617328518</v>
      </c>
      <c r="V58" s="5">
        <f t="shared" si="1"/>
        <v>22.013190000000002</v>
      </c>
      <c r="W58" s="5">
        <f t="shared" si="2"/>
        <v>7.4670012000000003</v>
      </c>
    </row>
    <row r="59" spans="1:23" ht="13.5" customHeight="1">
      <c r="A59" s="228">
        <v>35</v>
      </c>
      <c r="B59" s="198" t="s">
        <v>291</v>
      </c>
      <c r="C59" s="198" t="s">
        <v>288</v>
      </c>
      <c r="D59" s="198"/>
      <c r="E59" s="198" t="s">
        <v>121</v>
      </c>
      <c r="F59" s="228">
        <v>1956</v>
      </c>
      <c r="G59" s="229">
        <v>120</v>
      </c>
      <c r="H59" s="70" t="s">
        <v>115</v>
      </c>
      <c r="I59" s="119">
        <v>7.5</v>
      </c>
      <c r="J59" s="120" t="s">
        <v>3</v>
      </c>
      <c r="K59" s="120" t="s">
        <v>118</v>
      </c>
      <c r="L59" s="198">
        <v>1</v>
      </c>
      <c r="M59" s="198" t="s">
        <v>12</v>
      </c>
      <c r="N59" s="198">
        <v>10000</v>
      </c>
      <c r="O59" s="198"/>
      <c r="P59" s="198"/>
      <c r="Q59" s="120">
        <f>270*12/0.6</f>
        <v>5400</v>
      </c>
      <c r="R59" s="198">
        <f>IF(H59="gaz ziemny",'Wskaźniki emisji 2015r'!$B$22,0)</f>
        <v>0</v>
      </c>
      <c r="S59" s="4">
        <f>IF(H59="węgiel kamienny",'Wskaźniki emisji 2015r'!$B$8,IF(H59="gaz ziemny",'Wskaźniki emisji 2015r'!$B$9,IF(H59="drewno opałowe",'Wskaźniki emisji 2015r'!$B$11,IF(H59="olej opałowy",'Wskaźniki emisji 2015r'!$B$10,))))</f>
        <v>7.3377300000000005</v>
      </c>
      <c r="T59" s="3">
        <f t="shared" si="0"/>
        <v>7.5</v>
      </c>
      <c r="U59" s="3">
        <f>IF(H59="węgiel kamienny",'Wskaźniki emisji 2015r'!$D$8,IF(H59="gaz ziemny",'Wskaźniki emisji 2015r'!$D$9,IF(H59="olej opałowy",'Wskaźniki emisji 2015r'!$D$10,IF(H59="drewno opałowe",'Wskaźniki emisji 2015r'!$D$11,IF(H59="energia elektryczna",'Wskaźniki emisji 2015r'!$D$15)))))</f>
        <v>0.33920577617328518</v>
      </c>
      <c r="V59" s="5">
        <f t="shared" si="1"/>
        <v>55.032975000000008</v>
      </c>
      <c r="W59" s="5">
        <f t="shared" si="2"/>
        <v>18.667503</v>
      </c>
    </row>
    <row r="60" spans="1:23" ht="20.399999999999999">
      <c r="A60" s="120">
        <v>36</v>
      </c>
      <c r="B60" s="198" t="s">
        <v>287</v>
      </c>
      <c r="C60" s="198" t="s">
        <v>288</v>
      </c>
      <c r="D60" s="120"/>
      <c r="E60" s="120" t="s">
        <v>117</v>
      </c>
      <c r="F60" s="120">
        <v>1950</v>
      </c>
      <c r="G60" s="119">
        <v>100</v>
      </c>
      <c r="H60" s="70" t="s">
        <v>115</v>
      </c>
      <c r="I60" s="119">
        <v>6</v>
      </c>
      <c r="J60" s="120" t="s">
        <v>3</v>
      </c>
      <c r="K60" s="120" t="s">
        <v>118</v>
      </c>
      <c r="L60" s="198">
        <v>2</v>
      </c>
      <c r="M60" s="198" t="s">
        <v>192</v>
      </c>
      <c r="N60" s="198">
        <v>2000</v>
      </c>
      <c r="O60" s="198" t="s">
        <v>190</v>
      </c>
      <c r="P60" s="198"/>
      <c r="Q60" s="120">
        <f>120*12/0.6</f>
        <v>2400</v>
      </c>
      <c r="R60" s="198">
        <f>IF(H60="gaz ziemny",'Wskaźniki emisji 2015r'!$B$22,0)</f>
        <v>0</v>
      </c>
      <c r="S60" s="4">
        <f>IF(H60="węgiel kamienny",'Wskaźniki emisji 2015r'!$B$8,IF(H60="gaz ziemny",'Wskaźniki emisji 2015r'!$B$9,IF(H60="drewno opałowe",'Wskaźniki emisji 2015r'!$B$11,IF(H60="olej opałowy",'Wskaźniki emisji 2015r'!$B$10,))))</f>
        <v>7.3377300000000005</v>
      </c>
      <c r="T60" s="3">
        <f t="shared" si="0"/>
        <v>6</v>
      </c>
      <c r="U60" s="3">
        <f>IF(H60="węgiel kamienny",'Wskaźniki emisji 2015r'!$D$8,IF(H60="gaz ziemny",'Wskaźniki emisji 2015r'!$D$9,IF(H60="olej opałowy",'Wskaźniki emisji 2015r'!$D$10,IF(H60="drewno opałowe",'Wskaźniki emisji 2015r'!$D$11,IF(H60="energia elektryczna",'Wskaźniki emisji 2015r'!$D$15)))))</f>
        <v>0.33920577617328518</v>
      </c>
      <c r="V60" s="5">
        <f t="shared" si="1"/>
        <v>44.026380000000003</v>
      </c>
      <c r="W60" s="5">
        <f t="shared" si="2"/>
        <v>14.934002400000001</v>
      </c>
    </row>
    <row r="61" spans="1:23" ht="20.399999999999999">
      <c r="A61" s="198"/>
      <c r="B61" s="198"/>
      <c r="C61" s="198"/>
      <c r="D61" s="198"/>
      <c r="E61" s="198"/>
      <c r="F61" s="198"/>
      <c r="G61" s="197"/>
      <c r="H61" s="70"/>
      <c r="I61" s="197"/>
      <c r="J61" s="198"/>
      <c r="K61" s="198"/>
      <c r="L61" s="198"/>
      <c r="M61" s="198" t="s">
        <v>188</v>
      </c>
      <c r="N61" s="198"/>
      <c r="O61" s="198" t="s">
        <v>194</v>
      </c>
      <c r="P61" s="198"/>
      <c r="Q61" s="198"/>
      <c r="R61" s="198">
        <f>IF(H61="gaz ziemny",'Wskaźniki emisji 2015r'!$B$22,0)</f>
        <v>0</v>
      </c>
      <c r="S61" s="4">
        <f>IF(H61="węgiel kamienny",'Wskaźniki emisji 2015r'!$B$8,IF(H61="gaz ziemny",'Wskaźniki emisji 2015r'!$B$9,IF(H61="drewno opałowe",'Wskaźniki emisji 2015r'!$B$11,IF(H61="olej opałowy",'Wskaźniki emisji 2015r'!$B$10,))))</f>
        <v>0</v>
      </c>
      <c r="T61" s="3">
        <f t="shared" si="0"/>
        <v>0</v>
      </c>
      <c r="U61" s="3" t="b">
        <f>IF(H61="węgiel kamienny",'Wskaźniki emisji 2015r'!$D$8,IF(H61="gaz ziemny",'Wskaźniki emisji 2015r'!$D$9,IF(H61="olej opałowy",'Wskaźniki emisji 2015r'!$D$10,IF(H61="drewno opałowe",'Wskaźniki emisji 2015r'!$D$11,IF(H61="energia elektryczna",'Wskaźniki emisji 2015r'!$D$15)))))</f>
        <v>0</v>
      </c>
      <c r="V61" s="5">
        <f t="shared" si="1"/>
        <v>0</v>
      </c>
      <c r="W61" s="5">
        <f t="shared" si="2"/>
        <v>0</v>
      </c>
    </row>
    <row r="62" spans="1:23" ht="20.399999999999999">
      <c r="A62" s="120">
        <v>37</v>
      </c>
      <c r="B62" s="198" t="s">
        <v>287</v>
      </c>
      <c r="C62" s="198" t="s">
        <v>288</v>
      </c>
      <c r="D62" s="120"/>
      <c r="E62" s="120" t="s">
        <v>121</v>
      </c>
      <c r="F62" s="120">
        <v>1938</v>
      </c>
      <c r="G62" s="119">
        <v>180</v>
      </c>
      <c r="H62" s="70" t="s">
        <v>115</v>
      </c>
      <c r="I62" s="119">
        <v>7</v>
      </c>
      <c r="J62" s="120" t="s">
        <v>3</v>
      </c>
      <c r="K62" s="120" t="s">
        <v>122</v>
      </c>
      <c r="L62" s="198">
        <v>1</v>
      </c>
      <c r="M62" s="198" t="s">
        <v>192</v>
      </c>
      <c r="N62" s="198">
        <v>1500</v>
      </c>
      <c r="O62" s="198" t="s">
        <v>190</v>
      </c>
      <c r="P62" s="198"/>
      <c r="Q62" s="120"/>
      <c r="R62" s="198">
        <f>IF(H62="gaz ziemny",'Wskaźniki emisji 2015r'!$B$22,0)</f>
        <v>0</v>
      </c>
      <c r="S62" s="4">
        <f>IF(H62="węgiel kamienny",'Wskaźniki emisji 2015r'!$B$8,IF(H62="gaz ziemny",'Wskaźniki emisji 2015r'!$B$9,IF(H62="drewno opałowe",'Wskaźniki emisji 2015r'!$B$11,IF(H62="olej opałowy",'Wskaźniki emisji 2015r'!$B$10,))))</f>
        <v>7.3377300000000005</v>
      </c>
      <c r="T62" s="3">
        <f t="shared" si="0"/>
        <v>7</v>
      </c>
      <c r="U62" s="3">
        <f>IF(H62="węgiel kamienny",'Wskaźniki emisji 2015r'!$D$8,IF(H62="gaz ziemny",'Wskaźniki emisji 2015r'!$D$9,IF(H62="olej opałowy",'Wskaźniki emisji 2015r'!$D$10,IF(H62="drewno opałowe",'Wskaźniki emisji 2015r'!$D$11,IF(H62="energia elektryczna",'Wskaźniki emisji 2015r'!$D$15)))))</f>
        <v>0.33920577617328518</v>
      </c>
      <c r="V62" s="5">
        <f t="shared" si="1"/>
        <v>51.364110000000004</v>
      </c>
      <c r="W62" s="5">
        <f t="shared" si="2"/>
        <v>17.423002799999999</v>
      </c>
    </row>
    <row r="63" spans="1:23" ht="20.399999999999999">
      <c r="A63" s="198"/>
      <c r="B63" s="198"/>
      <c r="C63" s="198"/>
      <c r="D63" s="198"/>
      <c r="E63" s="198"/>
      <c r="F63" s="198"/>
      <c r="G63" s="197"/>
      <c r="H63" s="70"/>
      <c r="I63" s="197"/>
      <c r="J63" s="198"/>
      <c r="K63" s="198"/>
      <c r="L63" s="198"/>
      <c r="M63" s="198"/>
      <c r="N63" s="198"/>
      <c r="O63" s="198" t="s">
        <v>194</v>
      </c>
      <c r="P63" s="198"/>
      <c r="Q63" s="198"/>
      <c r="R63" s="198">
        <f>IF(H63="gaz ziemny",'Wskaźniki emisji 2015r'!$B$22,0)</f>
        <v>0</v>
      </c>
      <c r="S63" s="4">
        <f>IF(H63="węgiel kamienny",'Wskaźniki emisji 2015r'!$B$8,IF(H63="gaz ziemny",'Wskaźniki emisji 2015r'!$B$9,IF(H63="drewno opałowe",'Wskaźniki emisji 2015r'!$B$11,IF(H63="olej opałowy",'Wskaźniki emisji 2015r'!$B$10,))))</f>
        <v>0</v>
      </c>
      <c r="T63" s="3">
        <f t="shared" si="0"/>
        <v>0</v>
      </c>
      <c r="U63" s="3" t="b">
        <f>IF(H63="węgiel kamienny",'Wskaźniki emisji 2015r'!$D$8,IF(H63="gaz ziemny",'Wskaźniki emisji 2015r'!$D$9,IF(H63="olej opałowy",'Wskaźniki emisji 2015r'!$D$10,IF(H63="drewno opałowe",'Wskaźniki emisji 2015r'!$D$11,IF(H63="energia elektryczna",'Wskaźniki emisji 2015r'!$D$15)))))</f>
        <v>0</v>
      </c>
      <c r="V63" s="5">
        <f t="shared" si="1"/>
        <v>0</v>
      </c>
      <c r="W63" s="5">
        <f t="shared" si="2"/>
        <v>0</v>
      </c>
    </row>
    <row r="64" spans="1:23" ht="18.75" customHeight="1">
      <c r="A64" s="120">
        <v>38</v>
      </c>
      <c r="B64" s="198" t="s">
        <v>287</v>
      </c>
      <c r="C64" s="198" t="s">
        <v>288</v>
      </c>
      <c r="D64" s="198"/>
      <c r="E64" s="198" t="s">
        <v>121</v>
      </c>
      <c r="F64" s="120" t="s">
        <v>295</v>
      </c>
      <c r="G64" s="119">
        <v>60</v>
      </c>
      <c r="H64" s="70" t="s">
        <v>115</v>
      </c>
      <c r="I64" s="119"/>
      <c r="J64" s="120" t="s">
        <v>3</v>
      </c>
      <c r="K64" s="120" t="s">
        <v>118</v>
      </c>
      <c r="L64" s="198">
        <v>1</v>
      </c>
      <c r="M64" s="198" t="s">
        <v>188</v>
      </c>
      <c r="N64" s="198">
        <v>200</v>
      </c>
      <c r="O64" s="198" t="s">
        <v>190</v>
      </c>
      <c r="P64" s="198"/>
      <c r="Q64" s="120">
        <f>50*12/0.6</f>
        <v>1000</v>
      </c>
      <c r="R64" s="198">
        <f>IF(H64="gaz ziemny",'Wskaźniki emisji 2015r'!$B$22,0)</f>
        <v>0</v>
      </c>
      <c r="S64" s="4">
        <f>IF(H64="węgiel kamienny",'Wskaźniki emisji 2015r'!$B$8,IF(H64="gaz ziemny",'Wskaźniki emisji 2015r'!$B$9,IF(H64="drewno opałowe",'Wskaźniki emisji 2015r'!$B$11,IF(H64="olej opałowy",'Wskaźniki emisji 2015r'!$B$10,))))</f>
        <v>7.3377300000000005</v>
      </c>
      <c r="T64" s="3">
        <f t="shared" si="0"/>
        <v>0</v>
      </c>
      <c r="U64" s="3">
        <f>IF(H64="węgiel kamienny",'Wskaźniki emisji 2015r'!$D$8,IF(H64="gaz ziemny",'Wskaźniki emisji 2015r'!$D$9,IF(H64="olej opałowy",'Wskaźniki emisji 2015r'!$D$10,IF(H64="drewno opałowe",'Wskaźniki emisji 2015r'!$D$11,IF(H64="energia elektryczna",'Wskaźniki emisji 2015r'!$D$15)))))</f>
        <v>0.33920577617328518</v>
      </c>
      <c r="V64" s="5">
        <f t="shared" si="1"/>
        <v>0</v>
      </c>
      <c r="W64" s="5">
        <f t="shared" si="2"/>
        <v>0</v>
      </c>
    </row>
    <row r="65" spans="1:23" ht="18.75" customHeight="1">
      <c r="A65" s="198"/>
      <c r="B65" s="198"/>
      <c r="C65" s="198"/>
      <c r="D65" s="198"/>
      <c r="E65" s="198"/>
      <c r="F65" s="198"/>
      <c r="G65" s="197"/>
      <c r="H65" s="70"/>
      <c r="I65" s="197"/>
      <c r="J65" s="198"/>
      <c r="K65" s="198"/>
      <c r="L65" s="198"/>
      <c r="M65" s="198"/>
      <c r="N65" s="198"/>
      <c r="O65" s="198" t="s">
        <v>194</v>
      </c>
      <c r="P65" s="198"/>
      <c r="Q65" s="198"/>
      <c r="R65" s="198"/>
      <c r="S65" s="4">
        <f>IF(H65="węgiel kamienny",'Wskaźniki emisji 2015r'!$B$8,IF(H65="gaz ziemny",'Wskaźniki emisji 2015r'!$B$9,IF(H65="drewno opałowe",'Wskaźniki emisji 2015r'!$B$11,IF(H65="olej opałowy",'Wskaźniki emisji 2015r'!$B$10,))))</f>
        <v>0</v>
      </c>
      <c r="T65" s="3">
        <f t="shared" si="0"/>
        <v>0</v>
      </c>
      <c r="U65" s="3" t="b">
        <f>IF(H65="węgiel kamienny",'Wskaźniki emisji 2015r'!$D$8,IF(H65="gaz ziemny",'Wskaźniki emisji 2015r'!$D$9,IF(H65="olej opałowy",'Wskaźniki emisji 2015r'!$D$10,IF(H65="drewno opałowe",'Wskaźniki emisji 2015r'!$D$11,IF(H65="energia elektryczna",'Wskaźniki emisji 2015r'!$D$15)))))</f>
        <v>0</v>
      </c>
      <c r="V65" s="5">
        <f t="shared" si="1"/>
        <v>0</v>
      </c>
      <c r="W65" s="5">
        <f t="shared" si="2"/>
        <v>0</v>
      </c>
    </row>
    <row r="66" spans="1:23" ht="18" customHeight="1">
      <c r="A66" s="120">
        <v>39</v>
      </c>
      <c r="B66" s="198" t="s">
        <v>287</v>
      </c>
      <c r="C66" s="120" t="s">
        <v>288</v>
      </c>
      <c r="D66" s="120"/>
      <c r="E66" s="120" t="s">
        <v>117</v>
      </c>
      <c r="F66" s="120">
        <v>1980</v>
      </c>
      <c r="G66" s="119">
        <v>160</v>
      </c>
      <c r="H66" s="70" t="s">
        <v>115</v>
      </c>
      <c r="I66" s="119">
        <v>6</v>
      </c>
      <c r="J66" s="120" t="s">
        <v>3</v>
      </c>
      <c r="K66" s="120" t="s">
        <v>118</v>
      </c>
      <c r="L66" s="198">
        <v>2</v>
      </c>
      <c r="M66" s="198" t="s">
        <v>192</v>
      </c>
      <c r="N66" s="198">
        <v>1000</v>
      </c>
      <c r="O66" s="198" t="s">
        <v>190</v>
      </c>
      <c r="P66" s="198"/>
      <c r="Q66" s="120">
        <v>4579</v>
      </c>
      <c r="R66" s="198">
        <f>IF(H66="gaz ziemny",'Wskaźniki emisji 2015r'!$B$22,0)</f>
        <v>0</v>
      </c>
      <c r="S66" s="4">
        <f>IF(H66="węgiel kamienny",'Wskaźniki emisji 2015r'!$B$8,IF(H66="gaz ziemny",'Wskaźniki emisji 2015r'!$B$9,IF(H66="drewno opałowe",'Wskaźniki emisji 2015r'!$B$11,IF(H66="olej opałowy",'Wskaźniki emisji 2015r'!$B$10,))))</f>
        <v>7.3377300000000005</v>
      </c>
      <c r="T66" s="3">
        <f t="shared" si="0"/>
        <v>6</v>
      </c>
      <c r="U66" s="3">
        <f>IF(H66="węgiel kamienny",'Wskaźniki emisji 2015r'!$D$8,IF(H66="gaz ziemny",'Wskaźniki emisji 2015r'!$D$9,IF(H66="olej opałowy",'Wskaźniki emisji 2015r'!$D$10,IF(H66="drewno opałowe",'Wskaźniki emisji 2015r'!$D$11,IF(H66="energia elektryczna",'Wskaźniki emisji 2015r'!$D$15)))))</f>
        <v>0.33920577617328518</v>
      </c>
      <c r="V66" s="5">
        <f t="shared" si="1"/>
        <v>44.026380000000003</v>
      </c>
      <c r="W66" s="5">
        <f t="shared" si="2"/>
        <v>14.934002400000001</v>
      </c>
    </row>
    <row r="67" spans="1:23" ht="18" customHeight="1">
      <c r="A67" s="198"/>
      <c r="B67" s="198"/>
      <c r="C67" s="198"/>
      <c r="D67" s="198"/>
      <c r="E67" s="198"/>
      <c r="F67" s="198"/>
      <c r="G67" s="197"/>
      <c r="H67" s="70" t="s">
        <v>114</v>
      </c>
      <c r="I67" s="197">
        <f>8720*'Wskaźniki emisji 2010r'!B22/1000</f>
        <v>6.2435199999999993</v>
      </c>
      <c r="J67" s="198" t="s">
        <v>3</v>
      </c>
      <c r="K67" s="198"/>
      <c r="L67" s="198"/>
      <c r="M67" s="198" t="s">
        <v>188</v>
      </c>
      <c r="N67" s="198"/>
      <c r="O67" s="198"/>
      <c r="P67" s="198"/>
      <c r="Q67" s="198"/>
      <c r="R67" s="198"/>
      <c r="S67" s="4">
        <f>IF(H67="węgiel kamienny",'Wskaźniki emisji 2015r'!$B$8,IF(H67="gaz ziemny",'Wskaźniki emisji 2015r'!$B$9,IF(H67="drewno opałowe",'Wskaźniki emisji 2015r'!$B$11,IF(H67="olej opałowy",'Wskaźniki emisji 2015r'!$B$10,))))</f>
        <v>13.296000000000001</v>
      </c>
      <c r="T67" s="3">
        <f t="shared" si="0"/>
        <v>6.2435199999999993</v>
      </c>
      <c r="U67" s="3">
        <f>IF(H67="węgiel kamienny",'Wskaźniki emisji 2015r'!$D$8,IF(H67="gaz ziemny",'Wskaźniki emisji 2015r'!$D$9,IF(H67="olej opałowy",'Wskaźniki emisji 2015r'!$D$10,IF(H67="drewno opałowe",'Wskaźniki emisji 2015r'!$D$11,IF(H67="energia elektryczna",'Wskaźniki emisji 2015r'!$D$15)))))</f>
        <v>0.2015162454873646</v>
      </c>
      <c r="V67" s="5">
        <f t="shared" si="1"/>
        <v>83.013841920000004</v>
      </c>
      <c r="W67" s="5">
        <f t="shared" si="2"/>
        <v>16.728637747200001</v>
      </c>
    </row>
    <row r="68" spans="1:23" ht="18" customHeight="1">
      <c r="A68" s="120">
        <v>40</v>
      </c>
      <c r="B68" s="198" t="s">
        <v>287</v>
      </c>
      <c r="C68" s="198" t="s">
        <v>288</v>
      </c>
      <c r="D68" s="120"/>
      <c r="E68" s="120" t="s">
        <v>117</v>
      </c>
      <c r="F68" s="120">
        <v>1984</v>
      </c>
      <c r="G68" s="119">
        <v>150</v>
      </c>
      <c r="H68" s="70" t="s">
        <v>115</v>
      </c>
      <c r="I68" s="119">
        <v>6</v>
      </c>
      <c r="J68" s="120" t="s">
        <v>3</v>
      </c>
      <c r="K68" s="120" t="s">
        <v>118</v>
      </c>
      <c r="L68" s="198">
        <v>1</v>
      </c>
      <c r="M68" s="198" t="s">
        <v>12</v>
      </c>
      <c r="N68" s="198">
        <v>700</v>
      </c>
      <c r="O68" s="198" t="s">
        <v>190</v>
      </c>
      <c r="P68" s="198"/>
      <c r="Q68" s="120">
        <f>320*12/0.6</f>
        <v>6400</v>
      </c>
      <c r="R68" s="198">
        <f>IF(H68="gaz ziemny",'Wskaźniki emisji 2015r'!$B$22,0)</f>
        <v>0</v>
      </c>
      <c r="S68" s="4">
        <f>IF(H68="węgiel kamienny",'Wskaźniki emisji 2015r'!$B$8,IF(H68="gaz ziemny",'Wskaźniki emisji 2015r'!$B$9,IF(H68="drewno opałowe",'Wskaźniki emisji 2015r'!$B$11,IF(H68="olej opałowy",'Wskaźniki emisji 2015r'!$B$10,))))</f>
        <v>7.3377300000000005</v>
      </c>
      <c r="T68" s="3">
        <f t="shared" ref="T68:T131" si="3">IF(R68=0,I68,I68*R68/1000)</f>
        <v>6</v>
      </c>
      <c r="U68" s="3">
        <f>IF(H68="węgiel kamienny",'Wskaźniki emisji 2015r'!$D$8,IF(H68="gaz ziemny",'Wskaźniki emisji 2015r'!$D$9,IF(H68="olej opałowy",'Wskaźniki emisji 2015r'!$D$10,IF(H68="drewno opałowe",'Wskaźniki emisji 2015r'!$D$11,IF(H68="energia elektryczna",'Wskaźniki emisji 2015r'!$D$15)))))</f>
        <v>0.33920577617328518</v>
      </c>
      <c r="V68" s="5">
        <f t="shared" ref="V68:V131" si="4">S68*T68</f>
        <v>44.026380000000003</v>
      </c>
      <c r="W68" s="5">
        <f t="shared" ref="W68:W131" si="5">V68*U68</f>
        <v>14.934002400000001</v>
      </c>
    </row>
    <row r="69" spans="1:23" ht="18" customHeight="1">
      <c r="A69" s="198"/>
      <c r="B69" s="198"/>
      <c r="C69" s="198"/>
      <c r="D69" s="198"/>
      <c r="E69" s="198"/>
      <c r="F69" s="198"/>
      <c r="G69" s="197"/>
      <c r="H69" s="70" t="s">
        <v>163</v>
      </c>
      <c r="I69" s="197">
        <v>0</v>
      </c>
      <c r="J69" s="198" t="s">
        <v>3</v>
      </c>
      <c r="K69" s="198"/>
      <c r="L69" s="198"/>
      <c r="M69" s="198"/>
      <c r="N69" s="198"/>
      <c r="O69" s="198"/>
      <c r="P69" s="198"/>
      <c r="Q69" s="198"/>
      <c r="R69" s="198"/>
      <c r="S69" s="4">
        <f>IF(H69="węgiel kamienny",'Wskaźniki emisji 2015r'!$B$8,IF(H69="gaz ziemny",'Wskaźniki emisji 2015r'!$B$9,IF(H69="drewno opałowe",'Wskaźniki emisji 2015r'!$B$11,IF(H69="olej opałowy",'Wskaźniki emisji 2015r'!$B$10,))))</f>
        <v>4.3212000000000002</v>
      </c>
      <c r="T69" s="3">
        <f t="shared" si="3"/>
        <v>0</v>
      </c>
      <c r="U69" s="3">
        <f>IF(H69="węgiel kamienny",'Wskaźniki emisji 2015r'!$D$8,IF(H69="gaz ziemny",'Wskaźniki emisji 2015r'!$D$9,IF(H69="olej opałowy",'Wskaźniki emisji 2015r'!$D$10,IF(H69="drewno opałowe",'Wskaźniki emisji 2015r'!$D$11,IF(H69="energia elektryczna",'Wskaźniki emisji 2015r'!$D$15)))))</f>
        <v>0</v>
      </c>
      <c r="V69" s="5">
        <f t="shared" si="4"/>
        <v>0</v>
      </c>
      <c r="W69" s="5">
        <f t="shared" si="5"/>
        <v>0</v>
      </c>
    </row>
    <row r="70" spans="1:23" ht="20.399999999999999">
      <c r="A70" s="228">
        <v>41</v>
      </c>
      <c r="B70" s="198" t="s">
        <v>287</v>
      </c>
      <c r="C70" s="228" t="s">
        <v>306</v>
      </c>
      <c r="D70" s="228"/>
      <c r="E70" s="228" t="s">
        <v>117</v>
      </c>
      <c r="F70" s="228">
        <v>1960</v>
      </c>
      <c r="G70" s="229">
        <v>80</v>
      </c>
      <c r="H70" s="70" t="s">
        <v>114</v>
      </c>
      <c r="I70" s="119">
        <f>800*'Wskaźniki emisji 2015r'!B22*0.001*12/0.25</f>
        <v>27.494399999999999</v>
      </c>
      <c r="J70" s="120" t="s">
        <v>3</v>
      </c>
      <c r="K70" s="120" t="s">
        <v>118</v>
      </c>
      <c r="L70" s="198">
        <v>1</v>
      </c>
      <c r="M70" s="198" t="s">
        <v>192</v>
      </c>
      <c r="N70" s="198">
        <v>900</v>
      </c>
      <c r="O70" s="198" t="s">
        <v>190</v>
      </c>
      <c r="P70" s="198"/>
      <c r="Q70" s="120">
        <f>180*12/0.6</f>
        <v>3600</v>
      </c>
      <c r="R70" s="198">
        <f>IF(H70="gaz ziemny",'Wskaźniki emisji 2015r'!$B$22,0)</f>
        <v>0.71599999999999997</v>
      </c>
      <c r="S70" s="4">
        <f>IF(H70="węgiel kamienny",'Wskaźniki emisji 2015r'!$B$8,IF(H70="gaz ziemny",'Wskaźniki emisji 2015r'!$B$9,IF(H70="drewno opałowe",'Wskaźniki emisji 2015r'!$B$11,IF(H70="olej opałowy",'Wskaźniki emisji 2015r'!$B$10,))))</f>
        <v>13.296000000000001</v>
      </c>
      <c r="T70" s="3">
        <f t="shared" si="3"/>
        <v>1.9685990399999999E-2</v>
      </c>
      <c r="U70" s="3">
        <f>IF(H70="węgiel kamienny",'Wskaźniki emisji 2015r'!$D$8,IF(H70="gaz ziemny",'Wskaźniki emisji 2015r'!$D$9,IF(H70="olej opałowy",'Wskaźniki emisji 2015r'!$D$10,IF(H70="drewno opałowe",'Wskaźniki emisji 2015r'!$D$11,IF(H70="energia elektryczna",'Wskaźniki emisji 2015r'!$D$15)))))</f>
        <v>0.2015162454873646</v>
      </c>
      <c r="V70" s="5">
        <f t="shared" si="4"/>
        <v>0.26174492835840002</v>
      </c>
      <c r="W70" s="5">
        <f t="shared" si="5"/>
        <v>5.2745855238143999E-2</v>
      </c>
    </row>
    <row r="71" spans="1:23" ht="20.399999999999999">
      <c r="A71" s="228"/>
      <c r="B71" s="198"/>
      <c r="C71" s="228"/>
      <c r="D71" s="228"/>
      <c r="E71" s="228"/>
      <c r="F71" s="228"/>
      <c r="G71" s="229"/>
      <c r="H71" s="70"/>
      <c r="I71" s="197"/>
      <c r="J71" s="198"/>
      <c r="K71" s="198"/>
      <c r="L71" s="198"/>
      <c r="M71" s="198"/>
      <c r="N71" s="198"/>
      <c r="O71" s="198" t="s">
        <v>194</v>
      </c>
      <c r="P71" s="198"/>
      <c r="Q71" s="198"/>
      <c r="R71" s="198"/>
      <c r="S71" s="4">
        <f>IF(H71="węgiel kamienny",'Wskaźniki emisji 2015r'!$B$8,IF(H71="gaz ziemny",'Wskaźniki emisji 2015r'!$B$9,IF(H71="drewno opałowe",'Wskaźniki emisji 2015r'!$B$11,IF(H71="olej opałowy",'Wskaźniki emisji 2015r'!$B$10,))))</f>
        <v>0</v>
      </c>
      <c r="T71" s="3">
        <f t="shared" si="3"/>
        <v>0</v>
      </c>
      <c r="U71" s="3" t="b">
        <f>IF(H71="węgiel kamienny",'Wskaźniki emisji 2015r'!$D$8,IF(H71="gaz ziemny",'Wskaźniki emisji 2015r'!$D$9,IF(H71="olej opałowy",'Wskaźniki emisji 2015r'!$D$10,IF(H71="drewno opałowe",'Wskaźniki emisji 2015r'!$D$11,IF(H71="energia elektryczna",'Wskaźniki emisji 2015r'!$D$15)))))</f>
        <v>0</v>
      </c>
      <c r="V71" s="5">
        <f t="shared" si="4"/>
        <v>0</v>
      </c>
      <c r="W71" s="5">
        <f t="shared" si="5"/>
        <v>0</v>
      </c>
    </row>
    <row r="72" spans="1:23" ht="20.399999999999999">
      <c r="A72" s="120">
        <v>42</v>
      </c>
      <c r="B72" s="198" t="s">
        <v>287</v>
      </c>
      <c r="C72" s="228" t="s">
        <v>306</v>
      </c>
      <c r="D72" s="120"/>
      <c r="E72" s="120" t="s">
        <v>117</v>
      </c>
      <c r="F72" s="120">
        <v>1950</v>
      </c>
      <c r="G72" s="119">
        <v>70</v>
      </c>
      <c r="H72" s="70" t="s">
        <v>114</v>
      </c>
      <c r="I72" s="119">
        <f>700*12*'Wskaźniki emisji 2015r'!B22/1000/0.25</f>
        <v>24.057599999999997</v>
      </c>
      <c r="J72" s="120" t="s">
        <v>3</v>
      </c>
      <c r="K72" s="120" t="s">
        <v>118</v>
      </c>
      <c r="L72" s="198">
        <v>1</v>
      </c>
      <c r="M72" s="198" t="s">
        <v>192</v>
      </c>
      <c r="N72" s="198">
        <v>1000</v>
      </c>
      <c r="O72" s="198" t="s">
        <v>190</v>
      </c>
      <c r="P72" s="198"/>
      <c r="Q72" s="120">
        <f>150*12/0.6</f>
        <v>3000</v>
      </c>
      <c r="R72" s="198">
        <f>IF(H72="gaz ziemny",'Wskaźniki emisji 2015r'!$B$22,0)</f>
        <v>0.71599999999999997</v>
      </c>
      <c r="S72" s="4">
        <f>IF(H72="węgiel kamienny",'Wskaźniki emisji 2015r'!$B$8,IF(H72="gaz ziemny",'Wskaźniki emisji 2015r'!$B$9,IF(H72="drewno opałowe",'Wskaźniki emisji 2015r'!$B$11,IF(H72="olej opałowy",'Wskaźniki emisji 2015r'!$B$10,))))</f>
        <v>13.296000000000001</v>
      </c>
      <c r="T72" s="3">
        <f t="shared" si="3"/>
        <v>1.7225241599999996E-2</v>
      </c>
      <c r="U72" s="3">
        <f>IF(H72="węgiel kamienny",'Wskaźniki emisji 2015r'!$D$8,IF(H72="gaz ziemny",'Wskaźniki emisji 2015r'!$D$9,IF(H72="olej opałowy",'Wskaźniki emisji 2015r'!$D$10,IF(H72="drewno opałowe",'Wskaźniki emisji 2015r'!$D$11,IF(H72="energia elektryczna",'Wskaźniki emisji 2015r'!$D$15)))))</f>
        <v>0.2015162454873646</v>
      </c>
      <c r="V72" s="5">
        <f t="shared" si="4"/>
        <v>0.22902681231359998</v>
      </c>
      <c r="W72" s="5">
        <f t="shared" si="5"/>
        <v>4.615262333337599E-2</v>
      </c>
    </row>
    <row r="73" spans="1:23" ht="20.399999999999999">
      <c r="A73" s="198"/>
      <c r="B73" s="198"/>
      <c r="C73" s="228"/>
      <c r="D73" s="198"/>
      <c r="E73" s="198"/>
      <c r="F73" s="198"/>
      <c r="G73" s="197"/>
      <c r="H73" s="70"/>
      <c r="I73" s="197"/>
      <c r="J73" s="198"/>
      <c r="K73" s="198"/>
      <c r="L73" s="198"/>
      <c r="M73" s="198"/>
      <c r="N73" s="198"/>
      <c r="O73" s="198" t="s">
        <v>194</v>
      </c>
      <c r="P73" s="198"/>
      <c r="Q73" s="198"/>
      <c r="R73" s="198"/>
      <c r="S73" s="4">
        <f>IF(H73="węgiel kamienny",'Wskaźniki emisji 2015r'!$B$8,IF(H73="gaz ziemny",'Wskaźniki emisji 2015r'!$B$9,IF(H73="drewno opałowe",'Wskaźniki emisji 2015r'!$B$11,IF(H73="olej opałowy",'Wskaźniki emisji 2015r'!$B$10,))))</f>
        <v>0</v>
      </c>
      <c r="T73" s="3">
        <f t="shared" si="3"/>
        <v>0</v>
      </c>
      <c r="U73" s="3" t="b">
        <f>IF(H73="węgiel kamienny",'Wskaźniki emisji 2015r'!$D$8,IF(H73="gaz ziemny",'Wskaźniki emisji 2015r'!$D$9,IF(H73="olej opałowy",'Wskaźniki emisji 2015r'!$D$10,IF(H73="drewno opałowe",'Wskaźniki emisji 2015r'!$D$11,IF(H73="energia elektryczna",'Wskaźniki emisji 2015r'!$D$15)))))</f>
        <v>0</v>
      </c>
      <c r="V73" s="5">
        <f t="shared" si="4"/>
        <v>0</v>
      </c>
      <c r="W73" s="5">
        <f t="shared" si="5"/>
        <v>0</v>
      </c>
    </row>
    <row r="74" spans="1:23" ht="20.399999999999999">
      <c r="A74" s="120">
        <v>43</v>
      </c>
      <c r="B74" s="198" t="s">
        <v>287</v>
      </c>
      <c r="C74" s="228" t="s">
        <v>306</v>
      </c>
      <c r="D74" s="120"/>
      <c r="E74" s="120" t="s">
        <v>117</v>
      </c>
      <c r="F74" s="120">
        <v>1950</v>
      </c>
      <c r="G74" s="119">
        <v>70</v>
      </c>
      <c r="H74" s="70" t="s">
        <v>115</v>
      </c>
      <c r="I74" s="119">
        <v>4</v>
      </c>
      <c r="J74" s="120" t="s">
        <v>3</v>
      </c>
      <c r="K74" s="120" t="s">
        <v>118</v>
      </c>
      <c r="L74" s="198"/>
      <c r="M74" s="198"/>
      <c r="N74" s="198"/>
      <c r="O74" s="198"/>
      <c r="P74" s="198"/>
      <c r="Q74" s="120">
        <f>120*12/0.6</f>
        <v>2400</v>
      </c>
      <c r="R74" s="198">
        <f>IF(H74="gaz ziemny",'Wskaźniki emisji 2015r'!$B$22,0)</f>
        <v>0</v>
      </c>
      <c r="S74" s="4">
        <f>IF(H74="węgiel kamienny",'Wskaźniki emisji 2015r'!$B$8,IF(H74="gaz ziemny",'Wskaźniki emisji 2015r'!$B$9,IF(H74="drewno opałowe",'Wskaźniki emisji 2015r'!$B$11,IF(H74="olej opałowy",'Wskaźniki emisji 2015r'!$B$10,))))</f>
        <v>7.3377300000000005</v>
      </c>
      <c r="T74" s="3">
        <f t="shared" si="3"/>
        <v>4</v>
      </c>
      <c r="U74" s="3">
        <f>IF(H74="węgiel kamienny",'Wskaźniki emisji 2015r'!$D$8,IF(H74="gaz ziemny",'Wskaźniki emisji 2015r'!$D$9,IF(H74="olej opałowy",'Wskaźniki emisji 2015r'!$D$10,IF(H74="drewno opałowe",'Wskaźniki emisji 2015r'!$D$11,IF(H74="energia elektryczna",'Wskaźniki emisji 2015r'!$D$15)))))</f>
        <v>0.33920577617328518</v>
      </c>
      <c r="V74" s="5">
        <f t="shared" si="4"/>
        <v>29.350920000000002</v>
      </c>
      <c r="W74" s="5">
        <f t="shared" si="5"/>
        <v>9.9560016000000005</v>
      </c>
    </row>
    <row r="75" spans="1:23" ht="20.399999999999999">
      <c r="A75" s="120">
        <v>44</v>
      </c>
      <c r="B75" s="198" t="s">
        <v>287</v>
      </c>
      <c r="C75" s="198" t="s">
        <v>307</v>
      </c>
      <c r="D75" s="198">
        <v>4</v>
      </c>
      <c r="E75" s="198" t="s">
        <v>117</v>
      </c>
      <c r="F75" s="120">
        <v>1973</v>
      </c>
      <c r="G75" s="119">
        <v>150</v>
      </c>
      <c r="H75" s="70" t="s">
        <v>115</v>
      </c>
      <c r="I75" s="119">
        <v>6.5</v>
      </c>
      <c r="J75" s="120" t="s">
        <v>3</v>
      </c>
      <c r="K75" s="120" t="s">
        <v>118</v>
      </c>
      <c r="L75" s="198">
        <v>2</v>
      </c>
      <c r="M75" s="198" t="s">
        <v>192</v>
      </c>
      <c r="N75" s="198">
        <v>2000</v>
      </c>
      <c r="O75" s="198" t="s">
        <v>190</v>
      </c>
      <c r="P75" s="198" t="s">
        <v>193</v>
      </c>
      <c r="Q75" s="120">
        <f>170*12/0.6</f>
        <v>3400</v>
      </c>
      <c r="R75" s="198">
        <f>IF(H75="gaz ziemny",'Wskaźniki emisji 2015r'!$B$22,0)</f>
        <v>0</v>
      </c>
      <c r="S75" s="4">
        <f>IF(H75="węgiel kamienny",'Wskaźniki emisji 2015r'!$B$8,IF(H75="gaz ziemny",'Wskaźniki emisji 2015r'!$B$9,IF(H75="drewno opałowe",'Wskaźniki emisji 2015r'!$B$11,IF(H75="olej opałowy",'Wskaźniki emisji 2015r'!$B$10,))))</f>
        <v>7.3377300000000005</v>
      </c>
      <c r="T75" s="3">
        <f t="shared" si="3"/>
        <v>6.5</v>
      </c>
      <c r="U75" s="3">
        <f>IF(H75="węgiel kamienny",'Wskaźniki emisji 2015r'!$D$8,IF(H75="gaz ziemny",'Wskaźniki emisji 2015r'!$D$9,IF(H75="olej opałowy",'Wskaźniki emisji 2015r'!$D$10,IF(H75="drewno opałowe",'Wskaźniki emisji 2015r'!$D$11,IF(H75="energia elektryczna",'Wskaźniki emisji 2015r'!$D$15)))))</f>
        <v>0.33920577617328518</v>
      </c>
      <c r="V75" s="5">
        <f t="shared" si="4"/>
        <v>47.695245</v>
      </c>
      <c r="W75" s="5">
        <f t="shared" si="5"/>
        <v>16.178502599999998</v>
      </c>
    </row>
    <row r="76" spans="1:23" ht="20.399999999999999">
      <c r="A76" s="198"/>
      <c r="B76" s="198"/>
      <c r="C76" s="198"/>
      <c r="D76" s="198"/>
      <c r="E76" s="198"/>
      <c r="F76" s="198"/>
      <c r="G76" s="197"/>
      <c r="H76" s="70"/>
      <c r="I76" s="197"/>
      <c r="J76" s="198"/>
      <c r="K76" s="198"/>
      <c r="L76" s="198"/>
      <c r="M76" s="198" t="s">
        <v>188</v>
      </c>
      <c r="N76" s="198"/>
      <c r="O76" s="198" t="s">
        <v>194</v>
      </c>
      <c r="P76" s="198" t="s">
        <v>195</v>
      </c>
      <c r="Q76" s="198"/>
      <c r="R76" s="198"/>
      <c r="S76" s="4">
        <f>IF(H76="węgiel kamienny",'Wskaźniki emisji 2015r'!$B$8,IF(H76="gaz ziemny",'Wskaźniki emisji 2015r'!$B$9,IF(H76="drewno opałowe",'Wskaźniki emisji 2015r'!$B$11,IF(H76="olej opałowy",'Wskaźniki emisji 2015r'!$B$10,))))</f>
        <v>0</v>
      </c>
      <c r="T76" s="3">
        <f t="shared" si="3"/>
        <v>0</v>
      </c>
      <c r="U76" s="3" t="b">
        <f>IF(H76="węgiel kamienny",'Wskaźniki emisji 2015r'!$D$8,IF(H76="gaz ziemny",'Wskaźniki emisji 2015r'!$D$9,IF(H76="olej opałowy",'Wskaźniki emisji 2015r'!$D$10,IF(H76="drewno opałowe",'Wskaźniki emisji 2015r'!$D$11,IF(H76="energia elektryczna",'Wskaźniki emisji 2015r'!$D$15)))))</f>
        <v>0</v>
      </c>
      <c r="V76" s="5">
        <f t="shared" si="4"/>
        <v>0</v>
      </c>
      <c r="W76" s="5">
        <f t="shared" si="5"/>
        <v>0</v>
      </c>
    </row>
    <row r="77" spans="1:23" ht="20.399999999999999">
      <c r="A77" s="120">
        <v>45</v>
      </c>
      <c r="B77" s="198" t="s">
        <v>287</v>
      </c>
      <c r="C77" s="198" t="s">
        <v>307</v>
      </c>
      <c r="D77" s="120"/>
      <c r="E77" s="120" t="s">
        <v>117</v>
      </c>
      <c r="F77" s="120">
        <v>1994</v>
      </c>
      <c r="G77" s="119">
        <v>150</v>
      </c>
      <c r="H77" s="70" t="s">
        <v>114</v>
      </c>
      <c r="I77" s="119">
        <f>5000*'Wskaźniki emisji 2015r'!B22/1000/0.25</f>
        <v>14.32</v>
      </c>
      <c r="J77" s="120" t="s">
        <v>3</v>
      </c>
      <c r="K77" s="120" t="s">
        <v>118</v>
      </c>
      <c r="L77" s="198">
        <v>2</v>
      </c>
      <c r="M77" s="198" t="s">
        <v>188</v>
      </c>
      <c r="N77" s="198">
        <v>1000</v>
      </c>
      <c r="O77" s="198" t="s">
        <v>194</v>
      </c>
      <c r="P77" s="198" t="s">
        <v>195</v>
      </c>
      <c r="Q77" s="120">
        <f>140*12/0.6</f>
        <v>2800</v>
      </c>
      <c r="R77" s="198">
        <f>IF(H77="gaz ziemny",'Wskaźniki emisji 2015r'!$B$22,0)</f>
        <v>0.71599999999999997</v>
      </c>
      <c r="S77" s="4">
        <f>IF(H77="węgiel kamienny",'Wskaźniki emisji 2015r'!$B$8,IF(H77="gaz ziemny",'Wskaźniki emisji 2015r'!$B$9,IF(H77="drewno opałowe",'Wskaźniki emisji 2015r'!$B$11,IF(H77="olej opałowy",'Wskaźniki emisji 2015r'!$B$10,))))</f>
        <v>13.296000000000001</v>
      </c>
      <c r="T77" s="3">
        <f t="shared" si="3"/>
        <v>1.0253119999999999E-2</v>
      </c>
      <c r="U77" s="3">
        <f>IF(H77="węgiel kamienny",'Wskaźniki emisji 2015r'!$D$8,IF(H77="gaz ziemny",'Wskaźniki emisji 2015r'!$D$9,IF(H77="olej opałowy",'Wskaźniki emisji 2015r'!$D$10,IF(H77="drewno opałowe",'Wskaźniki emisji 2015r'!$D$11,IF(H77="energia elektryczna",'Wskaźniki emisji 2015r'!$D$15)))))</f>
        <v>0.2015162454873646</v>
      </c>
      <c r="V77" s="5">
        <f t="shared" si="4"/>
        <v>0.13632548352000001</v>
      </c>
      <c r="W77" s="5">
        <f t="shared" si="5"/>
        <v>2.7471799603199999E-2</v>
      </c>
    </row>
    <row r="78" spans="1:23" ht="20.399999999999999">
      <c r="A78" s="198"/>
      <c r="B78" s="198"/>
      <c r="C78" s="198"/>
      <c r="D78" s="198"/>
      <c r="E78" s="198"/>
      <c r="F78" s="198"/>
      <c r="G78" s="197"/>
      <c r="H78" s="70"/>
      <c r="I78" s="197"/>
      <c r="J78" s="198"/>
      <c r="K78" s="198"/>
      <c r="L78" s="198"/>
      <c r="M78" s="198" t="s">
        <v>192</v>
      </c>
      <c r="N78" s="198"/>
      <c r="O78" s="198"/>
      <c r="P78" s="198" t="s">
        <v>193</v>
      </c>
      <c r="Q78" s="198"/>
      <c r="R78" s="198"/>
      <c r="S78" s="4">
        <f>IF(H78="węgiel kamienny",'Wskaźniki emisji 2015r'!$B$8,IF(H78="gaz ziemny",'Wskaźniki emisji 2015r'!$B$9,IF(H78="drewno opałowe",'Wskaźniki emisji 2015r'!$B$11,IF(H78="olej opałowy",'Wskaźniki emisji 2015r'!$B$10,))))</f>
        <v>0</v>
      </c>
      <c r="T78" s="3">
        <f t="shared" si="3"/>
        <v>0</v>
      </c>
      <c r="U78" s="3" t="b">
        <f>IF(H78="węgiel kamienny",'Wskaźniki emisji 2015r'!$D$8,IF(H78="gaz ziemny",'Wskaźniki emisji 2015r'!$D$9,IF(H78="olej opałowy",'Wskaźniki emisji 2015r'!$D$10,IF(H78="drewno opałowe",'Wskaźniki emisji 2015r'!$D$11,IF(H78="energia elektryczna",'Wskaźniki emisji 2015r'!$D$15)))))</f>
        <v>0</v>
      </c>
      <c r="V78" s="5">
        <f t="shared" si="4"/>
        <v>0</v>
      </c>
      <c r="W78" s="5">
        <f t="shared" si="5"/>
        <v>0</v>
      </c>
    </row>
    <row r="79" spans="1:23" ht="20.399999999999999">
      <c r="A79" s="120">
        <v>46</v>
      </c>
      <c r="B79" s="198" t="s">
        <v>287</v>
      </c>
      <c r="C79" s="198" t="s">
        <v>307</v>
      </c>
      <c r="D79" s="198"/>
      <c r="E79" s="198" t="s">
        <v>117</v>
      </c>
      <c r="F79" s="120">
        <v>1971</v>
      </c>
      <c r="G79" s="119">
        <v>100</v>
      </c>
      <c r="H79" s="70" t="s">
        <v>115</v>
      </c>
      <c r="I79" s="119">
        <v>4</v>
      </c>
      <c r="J79" s="120" t="s">
        <v>3</v>
      </c>
      <c r="K79" s="120" t="s">
        <v>118</v>
      </c>
      <c r="L79" s="198"/>
      <c r="M79" s="198"/>
      <c r="N79" s="198"/>
      <c r="O79" s="198" t="s">
        <v>190</v>
      </c>
      <c r="P79" s="198"/>
      <c r="Q79" s="120">
        <f>50*12/0.6</f>
        <v>1000</v>
      </c>
      <c r="R79" s="198">
        <f>IF(H79="gaz ziemny",'Wskaźniki emisji 2015r'!$B$22,0)</f>
        <v>0</v>
      </c>
      <c r="S79" s="4">
        <f>IF(H79="węgiel kamienny",'Wskaźniki emisji 2015r'!$B$8,IF(H79="gaz ziemny",'Wskaźniki emisji 2015r'!$B$9,IF(H79="drewno opałowe",'Wskaźniki emisji 2015r'!$B$11,IF(H79="olej opałowy",'Wskaźniki emisji 2015r'!$B$10,))))</f>
        <v>7.3377300000000005</v>
      </c>
      <c r="T79" s="3">
        <f t="shared" si="3"/>
        <v>4</v>
      </c>
      <c r="U79" s="3">
        <f>IF(H79="węgiel kamienny",'Wskaźniki emisji 2015r'!$D$8,IF(H79="gaz ziemny",'Wskaźniki emisji 2015r'!$D$9,IF(H79="olej opałowy",'Wskaźniki emisji 2015r'!$D$10,IF(H79="drewno opałowe",'Wskaźniki emisji 2015r'!$D$11,IF(H79="energia elektryczna",'Wskaźniki emisji 2015r'!$D$15)))))</f>
        <v>0.33920577617328518</v>
      </c>
      <c r="V79" s="5">
        <f t="shared" si="4"/>
        <v>29.350920000000002</v>
      </c>
      <c r="W79" s="5">
        <f t="shared" si="5"/>
        <v>9.9560016000000005</v>
      </c>
    </row>
    <row r="80" spans="1:23" ht="20.399999999999999">
      <c r="A80" s="120">
        <v>47</v>
      </c>
      <c r="B80" s="198" t="s">
        <v>287</v>
      </c>
      <c r="C80" s="198" t="s">
        <v>307</v>
      </c>
      <c r="D80" s="120"/>
      <c r="E80" s="120" t="s">
        <v>121</v>
      </c>
      <c r="F80" s="120">
        <v>1970</v>
      </c>
      <c r="G80" s="119">
        <v>100</v>
      </c>
      <c r="H80" s="70" t="s">
        <v>114</v>
      </c>
      <c r="I80" s="119">
        <f>2500*12*'Wskaźniki emisji 2015r'!B22/1000/0.25</f>
        <v>85.92</v>
      </c>
      <c r="J80" s="120" t="s">
        <v>3</v>
      </c>
      <c r="K80" s="120" t="s">
        <v>118</v>
      </c>
      <c r="L80" s="198"/>
      <c r="M80" s="198"/>
      <c r="N80" s="198"/>
      <c r="O80" s="198" t="s">
        <v>190</v>
      </c>
      <c r="P80" s="198"/>
      <c r="Q80" s="120">
        <f>190*12/0.6</f>
        <v>3800</v>
      </c>
      <c r="R80" s="198">
        <f>IF(H80="gaz ziemny",'Wskaźniki emisji 2015r'!$B$22,0)</f>
        <v>0.71599999999999997</v>
      </c>
      <c r="S80" s="4">
        <f>IF(H80="węgiel kamienny",'Wskaźniki emisji 2015r'!$B$8,IF(H80="gaz ziemny",'Wskaźniki emisji 2015r'!$B$9,IF(H80="drewno opałowe",'Wskaźniki emisji 2015r'!$B$11,IF(H80="olej opałowy",'Wskaźniki emisji 2015r'!$B$10,))))</f>
        <v>13.296000000000001</v>
      </c>
      <c r="T80" s="3">
        <f t="shared" si="3"/>
        <v>6.1518719999999999E-2</v>
      </c>
      <c r="U80" s="3">
        <f>IF(H80="węgiel kamienny",'Wskaźniki emisji 2015r'!$D$8,IF(H80="gaz ziemny",'Wskaźniki emisji 2015r'!$D$9,IF(H80="olej opałowy",'Wskaźniki emisji 2015r'!$D$10,IF(H80="drewno opałowe",'Wskaźniki emisji 2015r'!$D$11,IF(H80="energia elektryczna",'Wskaźniki emisji 2015r'!$D$15)))))</f>
        <v>0.2015162454873646</v>
      </c>
      <c r="V80" s="5">
        <f t="shared" si="4"/>
        <v>0.81795290112000008</v>
      </c>
      <c r="W80" s="5">
        <f t="shared" si="5"/>
        <v>0.1648307976192</v>
      </c>
    </row>
    <row r="81" spans="1:23" ht="20.399999999999999">
      <c r="A81" s="198"/>
      <c r="B81" s="198"/>
      <c r="C81" s="198"/>
      <c r="D81" s="198"/>
      <c r="E81" s="198"/>
      <c r="F81" s="198"/>
      <c r="G81" s="197"/>
      <c r="H81" s="70"/>
      <c r="I81" s="197"/>
      <c r="J81" s="198"/>
      <c r="K81" s="198"/>
      <c r="L81" s="198"/>
      <c r="M81" s="198"/>
      <c r="N81" s="198"/>
      <c r="O81" s="198" t="s">
        <v>194</v>
      </c>
      <c r="P81" s="198"/>
      <c r="Q81" s="198"/>
      <c r="R81" s="198"/>
      <c r="S81" s="4">
        <f>IF(H81="węgiel kamienny",'Wskaźniki emisji 2015r'!$B$8,IF(H81="gaz ziemny",'Wskaźniki emisji 2015r'!$B$9,IF(H81="drewno opałowe",'Wskaźniki emisji 2015r'!$B$11,IF(H81="olej opałowy",'Wskaźniki emisji 2015r'!$B$10,))))</f>
        <v>0</v>
      </c>
      <c r="T81" s="3">
        <f t="shared" si="3"/>
        <v>0</v>
      </c>
      <c r="U81" s="3" t="b">
        <f>IF(H81="węgiel kamienny",'Wskaźniki emisji 2015r'!$D$8,IF(H81="gaz ziemny",'Wskaźniki emisji 2015r'!$D$9,IF(H81="olej opałowy",'Wskaźniki emisji 2015r'!$D$10,IF(H81="drewno opałowe",'Wskaźniki emisji 2015r'!$D$11,IF(H81="energia elektryczna",'Wskaźniki emisji 2015r'!$D$15)))))</f>
        <v>0</v>
      </c>
      <c r="V81" s="5">
        <f t="shared" si="4"/>
        <v>0</v>
      </c>
      <c r="W81" s="5">
        <f t="shared" si="5"/>
        <v>0</v>
      </c>
    </row>
    <row r="82" spans="1:23" ht="20.399999999999999">
      <c r="A82" s="120">
        <v>48</v>
      </c>
      <c r="B82" s="198" t="s">
        <v>300</v>
      </c>
      <c r="C82" s="198" t="s">
        <v>305</v>
      </c>
      <c r="D82" s="198"/>
      <c r="E82" s="198" t="s">
        <v>121</v>
      </c>
      <c r="F82" s="120">
        <v>1995</v>
      </c>
      <c r="G82" s="119">
        <v>90</v>
      </c>
      <c r="H82" s="70" t="s">
        <v>115</v>
      </c>
      <c r="I82" s="119">
        <v>3</v>
      </c>
      <c r="J82" s="120" t="s">
        <v>3</v>
      </c>
      <c r="K82" s="120" t="s">
        <v>118</v>
      </c>
      <c r="L82" s="198">
        <v>4</v>
      </c>
      <c r="M82" s="198" t="s">
        <v>192</v>
      </c>
      <c r="N82" s="198">
        <v>1000</v>
      </c>
      <c r="O82" s="198" t="s">
        <v>190</v>
      </c>
      <c r="P82" s="198" t="s">
        <v>193</v>
      </c>
      <c r="Q82" s="120">
        <f>200*12/0.6</f>
        <v>4000</v>
      </c>
      <c r="R82" s="198">
        <f>IF(H82="gaz ziemny",'Wskaźniki emisji 2015r'!$B$22,0)</f>
        <v>0</v>
      </c>
      <c r="S82" s="4">
        <f>IF(H82="węgiel kamienny",'Wskaźniki emisji 2015r'!$B$8,IF(H82="gaz ziemny",'Wskaźniki emisji 2015r'!$B$9,IF(H82="drewno opałowe",'Wskaźniki emisji 2015r'!$B$11,IF(H82="olej opałowy",'Wskaźniki emisji 2015r'!$B$10,))))</f>
        <v>7.3377300000000005</v>
      </c>
      <c r="T82" s="3">
        <f t="shared" si="3"/>
        <v>3</v>
      </c>
      <c r="U82" s="3">
        <f>IF(H82="węgiel kamienny",'Wskaźniki emisji 2015r'!$D$8,IF(H82="gaz ziemny",'Wskaźniki emisji 2015r'!$D$9,IF(H82="olej opałowy",'Wskaźniki emisji 2015r'!$D$10,IF(H82="drewno opałowe",'Wskaźniki emisji 2015r'!$D$11,IF(H82="energia elektryczna",'Wskaźniki emisji 2015r'!$D$15)))))</f>
        <v>0.33920577617328518</v>
      </c>
      <c r="V82" s="5">
        <f t="shared" si="4"/>
        <v>22.013190000000002</v>
      </c>
      <c r="W82" s="5">
        <f t="shared" si="5"/>
        <v>7.4670012000000003</v>
      </c>
    </row>
    <row r="83" spans="1:23" ht="20.399999999999999">
      <c r="A83" s="198"/>
      <c r="B83" s="198"/>
      <c r="C83" s="198"/>
      <c r="D83" s="198"/>
      <c r="E83" s="198"/>
      <c r="F83" s="198"/>
      <c r="G83" s="197"/>
      <c r="H83" s="70"/>
      <c r="I83" s="197"/>
      <c r="J83" s="198"/>
      <c r="K83" s="198"/>
      <c r="L83" s="198"/>
      <c r="M83" s="198" t="s">
        <v>188</v>
      </c>
      <c r="N83" s="198"/>
      <c r="O83" s="198" t="s">
        <v>194</v>
      </c>
      <c r="P83" s="198"/>
      <c r="Q83" s="198"/>
      <c r="R83" s="198">
        <f>IF(H83="gaz ziemny",'Wskaźniki emisji 2015r'!$B$22,0)</f>
        <v>0</v>
      </c>
      <c r="S83" s="4">
        <f>IF(H83="węgiel kamienny",'Wskaźniki emisji 2015r'!$B$8,IF(H83="gaz ziemny",'Wskaźniki emisji 2015r'!$B$9,IF(H83="drewno opałowe",'Wskaźniki emisji 2015r'!$B$11,IF(H83="olej opałowy",'Wskaźniki emisji 2015r'!$B$10,))))</f>
        <v>0</v>
      </c>
      <c r="T83" s="3">
        <f t="shared" si="3"/>
        <v>0</v>
      </c>
      <c r="U83" s="3" t="b">
        <f>IF(H83="węgiel kamienny",'Wskaźniki emisji 2015r'!$D$8,IF(H83="gaz ziemny",'Wskaźniki emisji 2015r'!$D$9,IF(H83="olej opałowy",'Wskaźniki emisji 2015r'!$D$10,IF(H83="drewno opałowe",'Wskaźniki emisji 2015r'!$D$11,IF(H83="energia elektryczna",'Wskaźniki emisji 2015r'!$D$15)))))</f>
        <v>0</v>
      </c>
      <c r="V83" s="5">
        <f t="shared" si="4"/>
        <v>0</v>
      </c>
      <c r="W83" s="5">
        <f t="shared" si="5"/>
        <v>0</v>
      </c>
    </row>
    <row r="84" spans="1:23" ht="20.399999999999999">
      <c r="A84" s="120">
        <v>49</v>
      </c>
      <c r="B84" s="198" t="s">
        <v>287</v>
      </c>
      <c r="C84" s="198" t="s">
        <v>288</v>
      </c>
      <c r="D84" s="198"/>
      <c r="E84" s="198" t="s">
        <v>121</v>
      </c>
      <c r="F84" s="120">
        <v>1930</v>
      </c>
      <c r="G84" s="119">
        <v>60</v>
      </c>
      <c r="H84" s="70" t="s">
        <v>115</v>
      </c>
      <c r="I84" s="119">
        <v>2</v>
      </c>
      <c r="J84" s="120" t="s">
        <v>3</v>
      </c>
      <c r="K84" s="120" t="s">
        <v>118</v>
      </c>
      <c r="L84" s="198">
        <v>1</v>
      </c>
      <c r="M84" s="198" t="s">
        <v>188</v>
      </c>
      <c r="N84" s="198">
        <v>600</v>
      </c>
      <c r="O84" s="198"/>
      <c r="P84" s="198" t="s">
        <v>194</v>
      </c>
      <c r="Q84" s="120">
        <f>130*12/0.6</f>
        <v>2600</v>
      </c>
      <c r="R84" s="198">
        <f>IF(H84="gaz ziemny",'Wskaźniki emisji 2015r'!$B$22,0)</f>
        <v>0</v>
      </c>
      <c r="S84" s="4">
        <f>IF(H84="węgiel kamienny",'Wskaźniki emisji 2015r'!$B$8,IF(H84="gaz ziemny",'Wskaźniki emisji 2015r'!$B$9,IF(H84="drewno opałowe",'Wskaźniki emisji 2015r'!$B$11,IF(H84="olej opałowy",'Wskaźniki emisji 2015r'!$B$10,))))</f>
        <v>7.3377300000000005</v>
      </c>
      <c r="T84" s="3">
        <f t="shared" si="3"/>
        <v>2</v>
      </c>
      <c r="U84" s="3">
        <f>IF(H84="węgiel kamienny",'Wskaźniki emisji 2015r'!$D$8,IF(H84="gaz ziemny",'Wskaźniki emisji 2015r'!$D$9,IF(H84="olej opałowy",'Wskaźniki emisji 2015r'!$D$10,IF(H84="drewno opałowe",'Wskaźniki emisji 2015r'!$D$11,IF(H84="energia elektryczna",'Wskaźniki emisji 2015r'!$D$15)))))</f>
        <v>0.33920577617328518</v>
      </c>
      <c r="V84" s="5">
        <f t="shared" si="4"/>
        <v>14.675460000000001</v>
      </c>
      <c r="W84" s="5">
        <f t="shared" si="5"/>
        <v>4.9780008000000002</v>
      </c>
    </row>
    <row r="85" spans="1:23">
      <c r="A85" s="198"/>
      <c r="B85" s="198"/>
      <c r="C85" s="198"/>
      <c r="D85" s="198"/>
      <c r="E85" s="198"/>
      <c r="F85" s="198"/>
      <c r="G85" s="197"/>
      <c r="H85" s="70" t="s">
        <v>163</v>
      </c>
      <c r="I85" s="197">
        <v>0</v>
      </c>
      <c r="J85" s="198" t="s">
        <v>3</v>
      </c>
      <c r="K85" s="198"/>
      <c r="L85" s="198"/>
      <c r="M85" s="198"/>
      <c r="N85" s="198"/>
      <c r="O85" s="198"/>
      <c r="P85" s="198"/>
      <c r="Q85" s="198"/>
      <c r="R85" s="198"/>
      <c r="S85" s="4">
        <f>IF(H85="węgiel kamienny",'Wskaźniki emisji 2015r'!$B$8,IF(H85="gaz ziemny",'Wskaźniki emisji 2015r'!$B$9,IF(H85="drewno opałowe",'Wskaźniki emisji 2015r'!$B$11,IF(H85="olej opałowy",'Wskaźniki emisji 2015r'!$B$10,))))</f>
        <v>4.3212000000000002</v>
      </c>
      <c r="T85" s="3">
        <f t="shared" si="3"/>
        <v>0</v>
      </c>
      <c r="U85" s="3">
        <f>IF(H85="węgiel kamienny",'Wskaźniki emisji 2015r'!$D$8,IF(H85="gaz ziemny",'Wskaźniki emisji 2015r'!$D$9,IF(H85="olej opałowy",'Wskaźniki emisji 2015r'!$D$10,IF(H85="drewno opałowe",'Wskaźniki emisji 2015r'!$D$11,IF(H85="energia elektryczna",'Wskaźniki emisji 2015r'!$D$15)))))</f>
        <v>0</v>
      </c>
      <c r="V85" s="5">
        <f t="shared" si="4"/>
        <v>0</v>
      </c>
      <c r="W85" s="5">
        <f t="shared" si="5"/>
        <v>0</v>
      </c>
    </row>
    <row r="86" spans="1:23" ht="20.399999999999999">
      <c r="A86" s="120">
        <v>50</v>
      </c>
      <c r="B86" s="198" t="s">
        <v>287</v>
      </c>
      <c r="C86" s="120" t="s">
        <v>303</v>
      </c>
      <c r="D86" s="120"/>
      <c r="E86" s="120" t="s">
        <v>121</v>
      </c>
      <c r="F86" s="120">
        <v>2000</v>
      </c>
      <c r="G86" s="119">
        <v>120</v>
      </c>
      <c r="H86" s="70" t="s">
        <v>115</v>
      </c>
      <c r="I86" s="119">
        <v>7</v>
      </c>
      <c r="J86" s="120" t="s">
        <v>3</v>
      </c>
      <c r="K86" s="120" t="s">
        <v>118</v>
      </c>
      <c r="L86" s="198">
        <v>1</v>
      </c>
      <c r="M86" s="198" t="s">
        <v>192</v>
      </c>
      <c r="N86" s="198">
        <v>800</v>
      </c>
      <c r="O86" s="198"/>
      <c r="P86" s="198"/>
      <c r="Q86" s="120">
        <f>160*12/0.6</f>
        <v>3200</v>
      </c>
      <c r="R86" s="198">
        <f>IF(H86="gaz ziemny",'Wskaźniki emisji 2015r'!$B$22,0)</f>
        <v>0</v>
      </c>
      <c r="S86" s="4">
        <f>IF(H86="węgiel kamienny",'Wskaźniki emisji 2015r'!$B$8,IF(H86="gaz ziemny",'Wskaźniki emisji 2015r'!$B$9,IF(H86="drewno opałowe",'Wskaźniki emisji 2015r'!$B$11,IF(H86="olej opałowy",'Wskaźniki emisji 2015r'!$B$10,))))</f>
        <v>7.3377300000000005</v>
      </c>
      <c r="T86" s="3">
        <f t="shared" si="3"/>
        <v>7</v>
      </c>
      <c r="U86" s="3">
        <f>IF(H86="węgiel kamienny",'Wskaźniki emisji 2015r'!$D$8,IF(H86="gaz ziemny",'Wskaźniki emisji 2015r'!$D$9,IF(H86="olej opałowy",'Wskaźniki emisji 2015r'!$D$10,IF(H86="drewno opałowe",'Wskaźniki emisji 2015r'!$D$11,IF(H86="energia elektryczna",'Wskaźniki emisji 2015r'!$D$15)))))</f>
        <v>0.33920577617328518</v>
      </c>
      <c r="V86" s="5">
        <f t="shared" si="4"/>
        <v>51.364110000000004</v>
      </c>
      <c r="W86" s="5">
        <f t="shared" si="5"/>
        <v>17.423002799999999</v>
      </c>
    </row>
    <row r="87" spans="1:23">
      <c r="A87" s="198"/>
      <c r="B87" s="198"/>
      <c r="C87" s="198"/>
      <c r="D87" s="198"/>
      <c r="E87" s="198"/>
      <c r="F87" s="198"/>
      <c r="G87" s="197"/>
      <c r="H87" s="70"/>
      <c r="I87" s="197"/>
      <c r="J87" s="198"/>
      <c r="K87" s="198"/>
      <c r="L87" s="198"/>
      <c r="M87" s="198" t="s">
        <v>12</v>
      </c>
      <c r="N87" s="198"/>
      <c r="O87" s="198"/>
      <c r="P87" s="198"/>
      <c r="Q87" s="198"/>
      <c r="R87" s="198">
        <f>IF(H87="gaz ziemny",'Wskaźniki emisji 2015r'!$B$22,0)</f>
        <v>0</v>
      </c>
      <c r="S87" s="4">
        <f>IF(H87="węgiel kamienny",'Wskaźniki emisji 2015r'!$B$8,IF(H87="gaz ziemny",'Wskaźniki emisji 2015r'!$B$9,IF(H87="drewno opałowe",'Wskaźniki emisji 2015r'!$B$11,IF(H87="olej opałowy",'Wskaźniki emisji 2015r'!$B$10,))))</f>
        <v>0</v>
      </c>
      <c r="T87" s="3">
        <f t="shared" si="3"/>
        <v>0</v>
      </c>
      <c r="U87" s="3" t="b">
        <f>IF(H87="węgiel kamienny",'Wskaźniki emisji 2015r'!$D$8,IF(H87="gaz ziemny",'Wskaźniki emisji 2015r'!$D$9,IF(H87="olej opałowy",'Wskaźniki emisji 2015r'!$D$10,IF(H87="drewno opałowe",'Wskaźniki emisji 2015r'!$D$11,IF(H87="energia elektryczna",'Wskaźniki emisji 2015r'!$D$15)))))</f>
        <v>0</v>
      </c>
      <c r="V87" s="5">
        <f t="shared" si="4"/>
        <v>0</v>
      </c>
      <c r="W87" s="5">
        <f t="shared" si="5"/>
        <v>0</v>
      </c>
    </row>
    <row r="88" spans="1:23" ht="20.399999999999999">
      <c r="A88" s="120">
        <v>51</v>
      </c>
      <c r="B88" s="198" t="s">
        <v>287</v>
      </c>
      <c r="C88" s="198" t="s">
        <v>308</v>
      </c>
      <c r="D88" s="198">
        <v>2</v>
      </c>
      <c r="E88" s="198" t="s">
        <v>121</v>
      </c>
      <c r="F88" s="120">
        <v>1994</v>
      </c>
      <c r="G88" s="119">
        <v>160</v>
      </c>
      <c r="H88" s="70" t="s">
        <v>115</v>
      </c>
      <c r="I88" s="119">
        <v>5</v>
      </c>
      <c r="J88" s="120" t="s">
        <v>3</v>
      </c>
      <c r="K88" s="120" t="s">
        <v>118</v>
      </c>
      <c r="L88" s="198">
        <v>1</v>
      </c>
      <c r="M88" s="198" t="s">
        <v>192</v>
      </c>
      <c r="N88" s="198">
        <v>150</v>
      </c>
      <c r="O88" s="198" t="s">
        <v>190</v>
      </c>
      <c r="P88" s="198"/>
      <c r="Q88" s="120">
        <f>100*12/0.6</f>
        <v>2000</v>
      </c>
      <c r="R88" s="198">
        <f>IF(H88="gaz ziemny",'Wskaźniki emisji 2015r'!$B$22,0)</f>
        <v>0</v>
      </c>
      <c r="S88" s="4">
        <f>IF(H88="węgiel kamienny",'Wskaźniki emisji 2015r'!$B$8,IF(H88="gaz ziemny",'Wskaźniki emisji 2015r'!$B$9,IF(H88="drewno opałowe",'Wskaźniki emisji 2015r'!$B$11,IF(H88="olej opałowy",'Wskaźniki emisji 2015r'!$B$10,))))</f>
        <v>7.3377300000000005</v>
      </c>
      <c r="T88" s="3">
        <f t="shared" si="3"/>
        <v>5</v>
      </c>
      <c r="U88" s="3">
        <f>IF(H88="węgiel kamienny",'Wskaźniki emisji 2015r'!$D$8,IF(H88="gaz ziemny",'Wskaźniki emisji 2015r'!$D$9,IF(H88="olej opałowy",'Wskaźniki emisji 2015r'!$D$10,IF(H88="drewno opałowe",'Wskaźniki emisji 2015r'!$D$11,IF(H88="energia elektryczna",'Wskaźniki emisji 2015r'!$D$15)))))</f>
        <v>0.33920577617328518</v>
      </c>
      <c r="V88" s="5">
        <f t="shared" si="4"/>
        <v>36.688650000000003</v>
      </c>
      <c r="W88" s="5">
        <f t="shared" si="5"/>
        <v>12.445002000000001</v>
      </c>
    </row>
    <row r="89" spans="1:23" ht="20.399999999999999">
      <c r="A89" s="198"/>
      <c r="B89" s="198"/>
      <c r="C89" s="198"/>
      <c r="D89" s="198"/>
      <c r="E89" s="198"/>
      <c r="F89" s="198"/>
      <c r="G89" s="197"/>
      <c r="H89" s="70"/>
      <c r="I89" s="197"/>
      <c r="J89" s="198"/>
      <c r="K89" s="198"/>
      <c r="L89" s="198"/>
      <c r="M89" s="198"/>
      <c r="N89" s="198"/>
      <c r="O89" s="198" t="s">
        <v>194</v>
      </c>
      <c r="P89" s="198"/>
      <c r="Q89" s="198"/>
      <c r="R89" s="198"/>
      <c r="S89" s="4">
        <f>IF(H89="węgiel kamienny",'Wskaźniki emisji 2015r'!$B$8,IF(H89="gaz ziemny",'Wskaźniki emisji 2015r'!$B$9,IF(H89="drewno opałowe",'Wskaźniki emisji 2015r'!$B$11,IF(H89="olej opałowy",'Wskaźniki emisji 2015r'!$B$10,))))</f>
        <v>0</v>
      </c>
      <c r="T89" s="3">
        <f t="shared" si="3"/>
        <v>0</v>
      </c>
      <c r="U89" s="3" t="b">
        <f>IF(H89="węgiel kamienny",'Wskaźniki emisji 2015r'!$D$8,IF(H89="gaz ziemny",'Wskaźniki emisji 2015r'!$D$9,IF(H89="olej opałowy",'Wskaźniki emisji 2015r'!$D$10,IF(H89="drewno opałowe",'Wskaźniki emisji 2015r'!$D$11,IF(H89="energia elektryczna",'Wskaźniki emisji 2015r'!$D$15)))))</f>
        <v>0</v>
      </c>
      <c r="V89" s="5">
        <f t="shared" si="4"/>
        <v>0</v>
      </c>
      <c r="W89" s="5">
        <f t="shared" si="5"/>
        <v>0</v>
      </c>
    </row>
    <row r="90" spans="1:23" ht="20.399999999999999">
      <c r="A90" s="120">
        <v>52</v>
      </c>
      <c r="B90" s="198" t="s">
        <v>287</v>
      </c>
      <c r="C90" s="198" t="s">
        <v>308</v>
      </c>
      <c r="D90" s="120">
        <v>10</v>
      </c>
      <c r="E90" s="120" t="s">
        <v>121</v>
      </c>
      <c r="F90" s="120">
        <v>1996</v>
      </c>
      <c r="G90" s="119">
        <v>100</v>
      </c>
      <c r="H90" s="70" t="s">
        <v>115</v>
      </c>
      <c r="I90" s="119">
        <v>6</v>
      </c>
      <c r="J90" s="120" t="s">
        <v>3</v>
      </c>
      <c r="K90" s="120" t="s">
        <v>197</v>
      </c>
      <c r="L90" s="198">
        <v>1</v>
      </c>
      <c r="M90" s="198" t="s">
        <v>192</v>
      </c>
      <c r="N90" s="198">
        <v>1800</v>
      </c>
      <c r="O90" s="198" t="s">
        <v>190</v>
      </c>
      <c r="P90" s="198"/>
      <c r="Q90" s="120">
        <f>180*12/0.6</f>
        <v>3600</v>
      </c>
      <c r="R90" s="198">
        <f>IF(H90="gaz ziemny",'Wskaźniki emisji 2015r'!$B$22,0)</f>
        <v>0</v>
      </c>
      <c r="S90" s="4">
        <f>IF(H90="węgiel kamienny",'Wskaźniki emisji 2015r'!$B$8,IF(H90="gaz ziemny",'Wskaźniki emisji 2015r'!$B$9,IF(H90="drewno opałowe",'Wskaźniki emisji 2015r'!$B$11,IF(H90="olej opałowy",'Wskaźniki emisji 2015r'!$B$10,))))</f>
        <v>7.3377300000000005</v>
      </c>
      <c r="T90" s="3">
        <f t="shared" si="3"/>
        <v>6</v>
      </c>
      <c r="U90" s="3">
        <f>IF(H90="węgiel kamienny",'Wskaźniki emisji 2015r'!$D$8,IF(H90="gaz ziemny",'Wskaźniki emisji 2015r'!$D$9,IF(H90="olej opałowy",'Wskaźniki emisji 2015r'!$D$10,IF(H90="drewno opałowe",'Wskaźniki emisji 2015r'!$D$11,IF(H90="energia elektryczna",'Wskaźniki emisji 2015r'!$D$15)))))</f>
        <v>0.33920577617328518</v>
      </c>
      <c r="V90" s="5">
        <f t="shared" si="4"/>
        <v>44.026380000000003</v>
      </c>
      <c r="W90" s="5">
        <f t="shared" si="5"/>
        <v>14.934002400000001</v>
      </c>
    </row>
    <row r="91" spans="1:23" ht="20.399999999999999">
      <c r="A91" s="120">
        <v>53</v>
      </c>
      <c r="B91" s="198" t="s">
        <v>287</v>
      </c>
      <c r="C91" s="198" t="s">
        <v>288</v>
      </c>
      <c r="D91" s="120">
        <v>30</v>
      </c>
      <c r="E91" s="120" t="s">
        <v>121</v>
      </c>
      <c r="F91" s="120">
        <v>1960</v>
      </c>
      <c r="G91" s="119">
        <v>110</v>
      </c>
      <c r="H91" s="70" t="s">
        <v>115</v>
      </c>
      <c r="I91" s="119">
        <v>5</v>
      </c>
      <c r="J91" s="120" t="s">
        <v>3</v>
      </c>
      <c r="K91" s="120" t="s">
        <v>118</v>
      </c>
      <c r="L91" s="198">
        <v>1</v>
      </c>
      <c r="M91" s="198" t="s">
        <v>192</v>
      </c>
      <c r="N91" s="198">
        <v>700</v>
      </c>
      <c r="O91" s="198" t="s">
        <v>190</v>
      </c>
      <c r="P91" s="198"/>
      <c r="Q91" s="120">
        <f>200*12/0.6</f>
        <v>4000</v>
      </c>
      <c r="R91" s="198">
        <f>IF(H91="gaz ziemny",'Wskaźniki emisji 2015r'!$B$22,0)</f>
        <v>0</v>
      </c>
      <c r="S91" s="4">
        <f>IF(H91="węgiel kamienny",'Wskaźniki emisji 2015r'!$B$8,IF(H91="gaz ziemny",'Wskaźniki emisji 2015r'!$B$9,IF(H91="drewno opałowe",'Wskaźniki emisji 2015r'!$B$11,IF(H91="olej opałowy",'Wskaźniki emisji 2015r'!$B$10,))))</f>
        <v>7.3377300000000005</v>
      </c>
      <c r="T91" s="3">
        <f t="shared" si="3"/>
        <v>5</v>
      </c>
      <c r="U91" s="3">
        <f>IF(H91="węgiel kamienny",'Wskaźniki emisji 2015r'!$D$8,IF(H91="gaz ziemny",'Wskaźniki emisji 2015r'!$D$9,IF(H91="olej opałowy",'Wskaźniki emisji 2015r'!$D$10,IF(H91="drewno opałowe",'Wskaźniki emisji 2015r'!$D$11,IF(H91="energia elektryczna",'Wskaźniki emisji 2015r'!$D$15)))))</f>
        <v>0.33920577617328518</v>
      </c>
      <c r="V91" s="5">
        <f t="shared" si="4"/>
        <v>36.688650000000003</v>
      </c>
      <c r="W91" s="5">
        <f t="shared" si="5"/>
        <v>12.445002000000001</v>
      </c>
    </row>
    <row r="92" spans="1:23" ht="20.399999999999999">
      <c r="A92" s="198"/>
      <c r="B92" s="198"/>
      <c r="C92" s="198"/>
      <c r="D92" s="198"/>
      <c r="E92" s="198"/>
      <c r="F92" s="198"/>
      <c r="G92" s="197"/>
      <c r="H92" s="70"/>
      <c r="I92" s="197"/>
      <c r="J92" s="198"/>
      <c r="K92" s="198"/>
      <c r="L92" s="198"/>
      <c r="M92" s="198"/>
      <c r="N92" s="198"/>
      <c r="O92" s="198" t="s">
        <v>194</v>
      </c>
      <c r="P92" s="198"/>
      <c r="Q92" s="198"/>
      <c r="R92" s="198"/>
      <c r="S92" s="4">
        <f>IF(H92="węgiel kamienny",'Wskaźniki emisji 2015r'!$B$8,IF(H92="gaz ziemny",'Wskaźniki emisji 2015r'!$B$9,IF(H92="drewno opałowe",'Wskaźniki emisji 2015r'!$B$11,IF(H92="olej opałowy",'Wskaźniki emisji 2015r'!$B$10,))))</f>
        <v>0</v>
      </c>
      <c r="T92" s="3">
        <f t="shared" si="3"/>
        <v>0</v>
      </c>
      <c r="U92" s="3" t="b">
        <f>IF(H92="węgiel kamienny",'Wskaźniki emisji 2015r'!$D$8,IF(H92="gaz ziemny",'Wskaźniki emisji 2015r'!$D$9,IF(H92="olej opałowy",'Wskaźniki emisji 2015r'!$D$10,IF(H92="drewno opałowe",'Wskaźniki emisji 2015r'!$D$11,IF(H92="energia elektryczna",'Wskaźniki emisji 2015r'!$D$15)))))</f>
        <v>0</v>
      </c>
      <c r="V92" s="5">
        <f t="shared" si="4"/>
        <v>0</v>
      </c>
      <c r="W92" s="5">
        <f t="shared" si="5"/>
        <v>0</v>
      </c>
    </row>
    <row r="93" spans="1:23" ht="20.399999999999999">
      <c r="A93" s="120">
        <v>54</v>
      </c>
      <c r="B93" s="198" t="s">
        <v>287</v>
      </c>
      <c r="C93" s="120" t="s">
        <v>299</v>
      </c>
      <c r="D93" s="120"/>
      <c r="E93" s="120" t="s">
        <v>121</v>
      </c>
      <c r="F93" s="120">
        <v>1967</v>
      </c>
      <c r="G93" s="119">
        <v>80</v>
      </c>
      <c r="H93" s="70" t="s">
        <v>115</v>
      </c>
      <c r="I93" s="119">
        <v>5</v>
      </c>
      <c r="J93" s="120" t="s">
        <v>3</v>
      </c>
      <c r="K93" s="120" t="s">
        <v>118</v>
      </c>
      <c r="L93" s="198">
        <v>2</v>
      </c>
      <c r="M93" s="198" t="s">
        <v>192</v>
      </c>
      <c r="N93" s="198">
        <v>800</v>
      </c>
      <c r="O93" s="198" t="s">
        <v>194</v>
      </c>
      <c r="P93" s="198"/>
      <c r="Q93" s="120">
        <f>110*12/0.6</f>
        <v>2200</v>
      </c>
      <c r="R93" s="198">
        <f>IF(H93="gaz ziemny",'Wskaźniki emisji 2015r'!$B$22,0)</f>
        <v>0</v>
      </c>
      <c r="S93" s="4">
        <f>IF(H93="węgiel kamienny",'Wskaźniki emisji 2015r'!$B$8,IF(H93="gaz ziemny",'Wskaźniki emisji 2015r'!$B$9,IF(H93="drewno opałowe",'Wskaźniki emisji 2015r'!$B$11,IF(H93="olej opałowy",'Wskaźniki emisji 2015r'!$B$10,))))</f>
        <v>7.3377300000000005</v>
      </c>
      <c r="T93" s="3">
        <f t="shared" si="3"/>
        <v>5</v>
      </c>
      <c r="U93" s="3">
        <f>IF(H93="węgiel kamienny",'Wskaźniki emisji 2015r'!$D$8,IF(H93="gaz ziemny",'Wskaźniki emisji 2015r'!$D$9,IF(H93="olej opałowy",'Wskaźniki emisji 2015r'!$D$10,IF(H93="drewno opałowe",'Wskaźniki emisji 2015r'!$D$11,IF(H93="energia elektryczna",'Wskaźniki emisji 2015r'!$D$15)))))</f>
        <v>0.33920577617328518</v>
      </c>
      <c r="V93" s="5">
        <f t="shared" si="4"/>
        <v>36.688650000000003</v>
      </c>
      <c r="W93" s="5">
        <f t="shared" si="5"/>
        <v>12.445002000000001</v>
      </c>
    </row>
    <row r="94" spans="1:23">
      <c r="A94" s="198"/>
      <c r="B94" s="198"/>
      <c r="C94" s="198"/>
      <c r="D94" s="198"/>
      <c r="E94" s="198"/>
      <c r="F94" s="198"/>
      <c r="G94" s="197"/>
      <c r="H94" s="70"/>
      <c r="I94" s="197"/>
      <c r="J94" s="198"/>
      <c r="K94" s="198"/>
      <c r="L94" s="198"/>
      <c r="M94" s="198" t="s">
        <v>12</v>
      </c>
      <c r="N94" s="198"/>
      <c r="O94" s="198" t="s">
        <v>190</v>
      </c>
      <c r="P94" s="198"/>
      <c r="Q94" s="198"/>
      <c r="R94" s="198">
        <f>IF(H94="gaz ziemny",'Wskaźniki emisji 2015r'!$B$22,0)</f>
        <v>0</v>
      </c>
      <c r="S94" s="4">
        <f>IF(H94="węgiel kamienny",'Wskaźniki emisji 2015r'!$B$8,IF(H94="gaz ziemny",'Wskaźniki emisji 2015r'!$B$9,IF(H94="drewno opałowe",'Wskaźniki emisji 2015r'!$B$11,IF(H94="olej opałowy",'Wskaźniki emisji 2015r'!$B$10,))))</f>
        <v>0</v>
      </c>
      <c r="T94" s="3">
        <f t="shared" si="3"/>
        <v>0</v>
      </c>
      <c r="U94" s="3" t="b">
        <f>IF(H94="węgiel kamienny",'Wskaźniki emisji 2015r'!$D$8,IF(H94="gaz ziemny",'Wskaźniki emisji 2015r'!$D$9,IF(H94="olej opałowy",'Wskaźniki emisji 2015r'!$D$10,IF(H94="drewno opałowe",'Wskaźniki emisji 2015r'!$D$11,IF(H94="energia elektryczna",'Wskaźniki emisji 2015r'!$D$15)))))</f>
        <v>0</v>
      </c>
      <c r="V94" s="5">
        <f t="shared" si="4"/>
        <v>0</v>
      </c>
      <c r="W94" s="5">
        <f t="shared" si="5"/>
        <v>0</v>
      </c>
    </row>
    <row r="95" spans="1:23" ht="20.399999999999999">
      <c r="A95" s="120">
        <v>55</v>
      </c>
      <c r="B95" s="198" t="s">
        <v>287</v>
      </c>
      <c r="C95" s="198" t="s">
        <v>299</v>
      </c>
      <c r="D95" s="120">
        <v>30</v>
      </c>
      <c r="E95" s="120" t="s">
        <v>121</v>
      </c>
      <c r="F95" s="120">
        <v>1998</v>
      </c>
      <c r="G95" s="119">
        <v>80</v>
      </c>
      <c r="H95" s="70" t="s">
        <v>115</v>
      </c>
      <c r="I95" s="119">
        <v>6</v>
      </c>
      <c r="J95" s="120" t="s">
        <v>3</v>
      </c>
      <c r="K95" s="120" t="s">
        <v>118</v>
      </c>
      <c r="L95" s="198">
        <v>1</v>
      </c>
      <c r="M95" s="198" t="s">
        <v>12</v>
      </c>
      <c r="N95" s="198">
        <v>1500</v>
      </c>
      <c r="O95" s="198" t="s">
        <v>190</v>
      </c>
      <c r="P95" s="198"/>
      <c r="Q95" s="120">
        <f>300*12/0.6</f>
        <v>6000</v>
      </c>
      <c r="R95" s="198">
        <f>IF(H95="gaz ziemny",'Wskaźniki emisji 2015r'!$B$22,0)</f>
        <v>0</v>
      </c>
      <c r="S95" s="4">
        <f>IF(H95="węgiel kamienny",'Wskaźniki emisji 2015r'!$B$8,IF(H95="gaz ziemny",'Wskaźniki emisji 2015r'!$B$9,IF(H95="drewno opałowe",'Wskaźniki emisji 2015r'!$B$11,IF(H95="olej opałowy",'Wskaźniki emisji 2015r'!$B$10,))))</f>
        <v>7.3377300000000005</v>
      </c>
      <c r="T95" s="3">
        <f t="shared" si="3"/>
        <v>6</v>
      </c>
      <c r="U95" s="3">
        <f>IF(H95="węgiel kamienny",'Wskaźniki emisji 2015r'!$D$8,IF(H95="gaz ziemny",'Wskaźniki emisji 2015r'!$D$9,IF(H95="olej opałowy",'Wskaźniki emisji 2015r'!$D$10,IF(H95="drewno opałowe",'Wskaźniki emisji 2015r'!$D$11,IF(H95="energia elektryczna",'Wskaźniki emisji 2015r'!$D$15)))))</f>
        <v>0.33920577617328518</v>
      </c>
      <c r="V95" s="5">
        <f t="shared" si="4"/>
        <v>44.026380000000003</v>
      </c>
      <c r="W95" s="5">
        <f t="shared" si="5"/>
        <v>14.934002400000001</v>
      </c>
    </row>
    <row r="96" spans="1:23" ht="14.25" customHeight="1">
      <c r="A96" s="120">
        <v>56</v>
      </c>
      <c r="B96" s="198" t="s">
        <v>287</v>
      </c>
      <c r="C96" s="198" t="s">
        <v>299</v>
      </c>
      <c r="D96" s="120" t="s">
        <v>309</v>
      </c>
      <c r="E96" s="120" t="s">
        <v>121</v>
      </c>
      <c r="F96" s="120">
        <v>2001</v>
      </c>
      <c r="G96" s="119">
        <v>110</v>
      </c>
      <c r="H96" s="70" t="s">
        <v>115</v>
      </c>
      <c r="I96" s="119">
        <v>8</v>
      </c>
      <c r="J96" s="120" t="s">
        <v>3</v>
      </c>
      <c r="K96" s="120" t="s">
        <v>118</v>
      </c>
      <c r="L96" s="198">
        <v>1</v>
      </c>
      <c r="M96" s="198" t="s">
        <v>192</v>
      </c>
      <c r="N96" s="198">
        <v>400</v>
      </c>
      <c r="O96" s="198"/>
      <c r="P96" s="198"/>
      <c r="Q96" s="120">
        <f>400*12/0.6</f>
        <v>8000</v>
      </c>
      <c r="R96" s="198">
        <f>IF(H96="gaz ziemny",'Wskaźniki emisji 2015r'!$B$22,0)</f>
        <v>0</v>
      </c>
      <c r="S96" s="4">
        <f>IF(H96="węgiel kamienny",'Wskaźniki emisji 2015r'!$B$8,IF(H96="gaz ziemny",'Wskaźniki emisji 2015r'!$B$9,IF(H96="drewno opałowe",'Wskaźniki emisji 2015r'!$B$11,IF(H96="olej opałowy",'Wskaźniki emisji 2015r'!$B$10,))))</f>
        <v>7.3377300000000005</v>
      </c>
      <c r="T96" s="3">
        <f t="shared" si="3"/>
        <v>8</v>
      </c>
      <c r="U96" s="3">
        <f>IF(H96="węgiel kamienny",'Wskaźniki emisji 2015r'!$D$8,IF(H96="gaz ziemny",'Wskaźniki emisji 2015r'!$D$9,IF(H96="olej opałowy",'Wskaźniki emisji 2015r'!$D$10,IF(H96="drewno opałowe",'Wskaźniki emisji 2015r'!$D$11,IF(H96="energia elektryczna",'Wskaźniki emisji 2015r'!$D$15)))))</f>
        <v>0.33920577617328518</v>
      </c>
      <c r="V96" s="5">
        <f t="shared" si="4"/>
        <v>58.701840000000004</v>
      </c>
      <c r="W96" s="5">
        <f t="shared" si="5"/>
        <v>19.912003200000001</v>
      </c>
    </row>
    <row r="97" spans="1:25" ht="14.25" customHeight="1">
      <c r="A97" s="120">
        <v>57</v>
      </c>
      <c r="B97" s="198" t="s">
        <v>287</v>
      </c>
      <c r="C97" s="198" t="s">
        <v>299</v>
      </c>
      <c r="D97" s="120" t="s">
        <v>310</v>
      </c>
      <c r="E97" s="120" t="s">
        <v>121</v>
      </c>
      <c r="F97" s="120">
        <v>2003</v>
      </c>
      <c r="G97" s="119">
        <v>136</v>
      </c>
      <c r="H97" s="70" t="s">
        <v>114</v>
      </c>
      <c r="I97" s="119">
        <f>600*12*'Wskaźniki emisji 2015r'!B22/1000/0.25</f>
        <v>20.620799999999999</v>
      </c>
      <c r="J97" s="120" t="s">
        <v>3</v>
      </c>
      <c r="K97" s="120" t="s">
        <v>118</v>
      </c>
      <c r="L97" s="198">
        <v>1</v>
      </c>
      <c r="M97" s="198" t="s">
        <v>188</v>
      </c>
      <c r="N97" s="198">
        <v>300</v>
      </c>
      <c r="O97" s="198"/>
      <c r="P97" s="198"/>
      <c r="Q97" s="120">
        <f>130*12/0.6</f>
        <v>2600</v>
      </c>
      <c r="R97" s="198">
        <f>IF(H97="gaz ziemny",'Wskaźniki emisji 2015r'!$B$22,0)</f>
        <v>0.71599999999999997</v>
      </c>
      <c r="S97" s="4">
        <f>IF(H97="węgiel kamienny",'Wskaźniki emisji 2015r'!$B$8,IF(H97="gaz ziemny",'Wskaźniki emisji 2015r'!$B$9,IF(H97="drewno opałowe",'Wskaźniki emisji 2015r'!$B$11,IF(H97="olej opałowy",'Wskaźniki emisji 2015r'!$B$10,))))</f>
        <v>13.296000000000001</v>
      </c>
      <c r="T97" s="3">
        <f t="shared" si="3"/>
        <v>1.4764492799999999E-2</v>
      </c>
      <c r="U97" s="3">
        <f>IF(H97="węgiel kamienny",'Wskaźniki emisji 2015r'!$D$8,IF(H97="gaz ziemny",'Wskaźniki emisji 2015r'!$D$9,IF(H97="olej opałowy",'Wskaźniki emisji 2015r'!$D$10,IF(H97="drewno opałowe",'Wskaźniki emisji 2015r'!$D$11,IF(H97="energia elektryczna",'Wskaźniki emisji 2015r'!$D$15)))))</f>
        <v>0.2015162454873646</v>
      </c>
      <c r="V97" s="5">
        <f t="shared" si="4"/>
        <v>0.19630869626880001</v>
      </c>
      <c r="W97" s="5">
        <f t="shared" si="5"/>
        <v>3.9559391428608003E-2</v>
      </c>
    </row>
    <row r="98" spans="1:25" s="6" customFormat="1" ht="14.25" customHeight="1">
      <c r="A98" s="120">
        <v>58</v>
      </c>
      <c r="B98" s="198" t="s">
        <v>287</v>
      </c>
      <c r="C98" s="198" t="s">
        <v>299</v>
      </c>
      <c r="D98" s="120" t="s">
        <v>311</v>
      </c>
      <c r="E98" s="120" t="s">
        <v>121</v>
      </c>
      <c r="F98" s="120">
        <v>1985</v>
      </c>
      <c r="G98" s="119">
        <v>100</v>
      </c>
      <c r="H98" s="70" t="s">
        <v>115</v>
      </c>
      <c r="I98" s="119">
        <v>4</v>
      </c>
      <c r="J98" s="120" t="s">
        <v>3</v>
      </c>
      <c r="K98" s="120" t="s">
        <v>122</v>
      </c>
      <c r="L98" s="198">
        <v>1</v>
      </c>
      <c r="M98" s="198" t="s">
        <v>192</v>
      </c>
      <c r="N98" s="198">
        <v>1000</v>
      </c>
      <c r="O98" s="198"/>
      <c r="P98" s="198" t="s">
        <v>190</v>
      </c>
      <c r="Q98" s="120">
        <f>130*12/0.6</f>
        <v>2600</v>
      </c>
      <c r="R98" s="198">
        <f>IF(H98="gaz ziemny",'Wskaźniki emisji 2015r'!$B$22,0)</f>
        <v>0</v>
      </c>
      <c r="S98" s="4">
        <f>IF(H98="węgiel kamienny",'Wskaźniki emisji 2015r'!$B$8,IF(H98="gaz ziemny",'Wskaźniki emisji 2015r'!$B$9,IF(H98="drewno opałowe",'Wskaźniki emisji 2015r'!$B$11,IF(H98="olej opałowy",'Wskaźniki emisji 2015r'!$B$10,))))</f>
        <v>7.3377300000000005</v>
      </c>
      <c r="T98" s="3">
        <f t="shared" si="3"/>
        <v>4</v>
      </c>
      <c r="U98" s="3">
        <f>IF(H98="węgiel kamienny",'Wskaźniki emisji 2015r'!$D$8,IF(H98="gaz ziemny",'Wskaźniki emisji 2015r'!$D$9,IF(H98="olej opałowy",'Wskaźniki emisji 2015r'!$D$10,IF(H98="drewno opałowe",'Wskaźniki emisji 2015r'!$D$11,IF(H98="energia elektryczna",'Wskaźniki emisji 2015r'!$D$15)))))</f>
        <v>0.33920577617328518</v>
      </c>
      <c r="V98" s="5">
        <f t="shared" si="4"/>
        <v>29.350920000000002</v>
      </c>
      <c r="W98" s="5">
        <f t="shared" si="5"/>
        <v>9.9560016000000005</v>
      </c>
      <c r="X98" s="2"/>
      <c r="Y98" s="2"/>
    </row>
    <row r="99" spans="1:25" s="6" customFormat="1" ht="14.25" customHeight="1">
      <c r="A99" s="198"/>
      <c r="B99" s="198"/>
      <c r="C99" s="198"/>
      <c r="D99" s="198"/>
      <c r="E99" s="198"/>
      <c r="F99" s="198"/>
      <c r="G99" s="197"/>
      <c r="H99" s="70" t="s">
        <v>163</v>
      </c>
      <c r="I99" s="197">
        <v>5</v>
      </c>
      <c r="J99" s="198" t="s">
        <v>3</v>
      </c>
      <c r="K99" s="198"/>
      <c r="L99" s="198"/>
      <c r="M99" s="198" t="s">
        <v>12</v>
      </c>
      <c r="N99" s="198"/>
      <c r="O99" s="198"/>
      <c r="P99" s="198"/>
      <c r="Q99" s="198"/>
      <c r="R99" s="198">
        <f>IF(H99="gaz ziemny",'Wskaźniki emisji 2015r'!$B$22,0)</f>
        <v>0</v>
      </c>
      <c r="S99" s="4">
        <f>IF(H99="węgiel kamienny",'Wskaźniki emisji 2015r'!$B$8,IF(H99="gaz ziemny",'Wskaźniki emisji 2015r'!$B$9,IF(H99="drewno opałowe",'Wskaźniki emisji 2015r'!$B$11,IF(H99="olej opałowy",'Wskaźniki emisji 2015r'!$B$10,))))</f>
        <v>4.3212000000000002</v>
      </c>
      <c r="T99" s="3">
        <f t="shared" si="3"/>
        <v>5</v>
      </c>
      <c r="U99" s="3">
        <f>IF(H99="węgiel kamienny",'Wskaźniki emisji 2015r'!$D$8,IF(H99="gaz ziemny",'Wskaźniki emisji 2015r'!$D$9,IF(H99="olej opałowy",'Wskaźniki emisji 2015r'!$D$10,IF(H99="drewno opałowe",'Wskaźniki emisji 2015r'!$D$11,IF(H99="energia elektryczna",'Wskaźniki emisji 2015r'!$D$15)))))</f>
        <v>0</v>
      </c>
      <c r="V99" s="5">
        <f t="shared" si="4"/>
        <v>21.606000000000002</v>
      </c>
      <c r="W99" s="5">
        <f t="shared" si="5"/>
        <v>0</v>
      </c>
      <c r="X99" s="2"/>
      <c r="Y99" s="2"/>
    </row>
    <row r="100" spans="1:25" s="6" customFormat="1" ht="20.399999999999999">
      <c r="A100" s="120">
        <v>59</v>
      </c>
      <c r="B100" s="198" t="s">
        <v>287</v>
      </c>
      <c r="C100" s="120" t="s">
        <v>288</v>
      </c>
      <c r="D100" s="120" t="s">
        <v>312</v>
      </c>
      <c r="E100" s="120" t="s">
        <v>121</v>
      </c>
      <c r="F100" s="120">
        <v>2016</v>
      </c>
      <c r="G100" s="119">
        <v>150</v>
      </c>
      <c r="H100" s="70" t="s">
        <v>163</v>
      </c>
      <c r="I100" s="119">
        <f>(10+12)/2</f>
        <v>11</v>
      </c>
      <c r="J100" s="120" t="s">
        <v>3</v>
      </c>
      <c r="K100" s="120" t="s">
        <v>118</v>
      </c>
      <c r="L100" s="198">
        <v>1</v>
      </c>
      <c r="M100" s="198" t="s">
        <v>192</v>
      </c>
      <c r="N100" s="198">
        <v>1000</v>
      </c>
      <c r="O100" s="198"/>
      <c r="P100" s="198"/>
      <c r="Q100" s="120">
        <f>220*12/0.6</f>
        <v>4400</v>
      </c>
      <c r="R100" s="198">
        <f>IF(H100="gaz ziemny",'Wskaźniki emisji 2015r'!$B$22,0)</f>
        <v>0</v>
      </c>
      <c r="S100" s="4">
        <f>IF(H100="węgiel kamienny",'Wskaźniki emisji 2015r'!$B$8,IF(H100="gaz ziemny",'Wskaźniki emisji 2015r'!$B$9,IF(H100="drewno opałowe",'Wskaźniki emisji 2015r'!$B$11,IF(H100="olej opałowy",'Wskaźniki emisji 2015r'!$B$10,))))</f>
        <v>4.3212000000000002</v>
      </c>
      <c r="T100" s="3">
        <f t="shared" si="3"/>
        <v>11</v>
      </c>
      <c r="U100" s="3">
        <f>IF(H100="węgiel kamienny",'Wskaźniki emisji 2015r'!$D$8,IF(H100="gaz ziemny",'Wskaźniki emisji 2015r'!$D$9,IF(H100="olej opałowy",'Wskaźniki emisji 2015r'!$D$10,IF(H100="drewno opałowe",'Wskaźniki emisji 2015r'!$D$11,IF(H100="energia elektryczna",'Wskaźniki emisji 2015r'!$D$15)))))</f>
        <v>0</v>
      </c>
      <c r="V100" s="5">
        <f t="shared" si="4"/>
        <v>47.533200000000001</v>
      </c>
      <c r="W100" s="5">
        <f t="shared" si="5"/>
        <v>0</v>
      </c>
      <c r="X100" s="2"/>
      <c r="Y100" s="2"/>
    </row>
    <row r="101" spans="1:25" s="6" customFormat="1" ht="20.399999999999999">
      <c r="A101" s="120">
        <v>60</v>
      </c>
      <c r="B101" s="198" t="s">
        <v>287</v>
      </c>
      <c r="C101" s="120" t="s">
        <v>313</v>
      </c>
      <c r="D101" s="120">
        <v>34</v>
      </c>
      <c r="E101" s="120" t="s">
        <v>121</v>
      </c>
      <c r="F101" s="120">
        <v>1968</v>
      </c>
      <c r="G101" s="119">
        <v>80</v>
      </c>
      <c r="H101" s="70" t="s">
        <v>115</v>
      </c>
      <c r="I101" s="119">
        <v>5</v>
      </c>
      <c r="J101" s="120" t="s">
        <v>3</v>
      </c>
      <c r="K101" s="120" t="s">
        <v>118</v>
      </c>
      <c r="L101" s="198">
        <v>1</v>
      </c>
      <c r="M101" s="198" t="s">
        <v>192</v>
      </c>
      <c r="N101" s="198">
        <v>1300</v>
      </c>
      <c r="O101" s="198" t="s">
        <v>190</v>
      </c>
      <c r="P101" s="198"/>
      <c r="Q101" s="120">
        <f>170*12/0.6</f>
        <v>3400</v>
      </c>
      <c r="R101" s="198">
        <f>IF(H101="gaz ziemny",'Wskaźniki emisji 2015r'!$B$22,0)</f>
        <v>0</v>
      </c>
      <c r="S101" s="4">
        <f>IF(H101="węgiel kamienny",'Wskaźniki emisji 2015r'!$B$8,IF(H101="gaz ziemny",'Wskaźniki emisji 2015r'!$B$9,IF(H101="drewno opałowe",'Wskaźniki emisji 2015r'!$B$11,IF(H101="olej opałowy",'Wskaźniki emisji 2015r'!$B$10,))))</f>
        <v>7.3377300000000005</v>
      </c>
      <c r="T101" s="3">
        <f t="shared" si="3"/>
        <v>5</v>
      </c>
      <c r="U101" s="3">
        <f>IF(H101="węgiel kamienny",'Wskaźniki emisji 2015r'!$D$8,IF(H101="gaz ziemny",'Wskaźniki emisji 2015r'!$D$9,IF(H101="olej opałowy",'Wskaźniki emisji 2015r'!$D$10,IF(H101="drewno opałowe",'Wskaźniki emisji 2015r'!$D$11,IF(H101="energia elektryczna",'Wskaźniki emisji 2015r'!$D$15)))))</f>
        <v>0.33920577617328518</v>
      </c>
      <c r="V101" s="5">
        <f t="shared" si="4"/>
        <v>36.688650000000003</v>
      </c>
      <c r="W101" s="5">
        <f t="shared" si="5"/>
        <v>12.445002000000001</v>
      </c>
      <c r="X101" s="2"/>
      <c r="Y101" s="2"/>
    </row>
    <row r="102" spans="1:25" s="6" customFormat="1" ht="20.399999999999999">
      <c r="A102" s="120">
        <v>61</v>
      </c>
      <c r="B102" s="198" t="s">
        <v>287</v>
      </c>
      <c r="C102" s="198" t="s">
        <v>288</v>
      </c>
      <c r="D102" s="120">
        <v>29</v>
      </c>
      <c r="E102" s="120" t="s">
        <v>121</v>
      </c>
      <c r="F102" s="120">
        <v>1977</v>
      </c>
      <c r="G102" s="119">
        <v>110</v>
      </c>
      <c r="H102" s="70" t="s">
        <v>115</v>
      </c>
      <c r="I102" s="119">
        <v>7.5</v>
      </c>
      <c r="J102" s="120" t="s">
        <v>3</v>
      </c>
      <c r="K102" s="198" t="s">
        <v>118</v>
      </c>
      <c r="L102" s="198">
        <v>2</v>
      </c>
      <c r="M102" s="198" t="s">
        <v>192</v>
      </c>
      <c r="N102" s="198">
        <v>350</v>
      </c>
      <c r="O102" s="198" t="s">
        <v>190</v>
      </c>
      <c r="P102" s="198" t="s">
        <v>193</v>
      </c>
      <c r="Q102" s="120">
        <f>100*12/0.6</f>
        <v>2000</v>
      </c>
      <c r="R102" s="198">
        <f>IF(H102="gaz ziemny",'Wskaźniki emisji 2015r'!$B$22,0)</f>
        <v>0</v>
      </c>
      <c r="S102" s="4">
        <f>IF(H102="węgiel kamienny",'Wskaźniki emisji 2015r'!$B$8,IF(H102="gaz ziemny",'Wskaźniki emisji 2015r'!$B$9,IF(H102="drewno opałowe",'Wskaźniki emisji 2015r'!$B$11,IF(H102="olej opałowy",'Wskaźniki emisji 2015r'!$B$10,))))</f>
        <v>7.3377300000000005</v>
      </c>
      <c r="T102" s="3">
        <f t="shared" si="3"/>
        <v>7.5</v>
      </c>
      <c r="U102" s="3">
        <f>IF(H102="węgiel kamienny",'Wskaźniki emisji 2015r'!$D$8,IF(H102="gaz ziemny",'Wskaźniki emisji 2015r'!$D$9,IF(H102="olej opałowy",'Wskaźniki emisji 2015r'!$D$10,IF(H102="drewno opałowe",'Wskaźniki emisji 2015r'!$D$11,IF(H102="energia elektryczna",'Wskaźniki emisji 2015r'!$D$15)))))</f>
        <v>0.33920577617328518</v>
      </c>
      <c r="V102" s="5">
        <f t="shared" si="4"/>
        <v>55.032975000000008</v>
      </c>
      <c r="W102" s="5">
        <f t="shared" si="5"/>
        <v>18.667503</v>
      </c>
      <c r="X102" s="2"/>
      <c r="Y102" s="2"/>
    </row>
    <row r="103" spans="1:25" s="6" customFormat="1" ht="20.399999999999999">
      <c r="A103" s="198"/>
      <c r="B103" s="198"/>
      <c r="C103" s="198"/>
      <c r="D103" s="198"/>
      <c r="E103" s="198"/>
      <c r="F103" s="198"/>
      <c r="G103" s="197"/>
      <c r="H103" s="70"/>
      <c r="I103" s="197"/>
      <c r="J103" s="198"/>
      <c r="K103" s="198"/>
      <c r="L103" s="198"/>
      <c r="M103" s="198"/>
      <c r="N103" s="198"/>
      <c r="O103" s="198"/>
      <c r="P103" s="198" t="s">
        <v>198</v>
      </c>
      <c r="Q103" s="198"/>
      <c r="R103" s="198"/>
      <c r="S103" s="4">
        <f>IF(H103="węgiel kamienny",'Wskaźniki emisji 2015r'!$B$8,IF(H103="gaz ziemny",'Wskaźniki emisji 2015r'!$B$9,IF(H103="drewno opałowe",'Wskaźniki emisji 2015r'!$B$11,IF(H103="olej opałowy",'Wskaźniki emisji 2015r'!$B$10,))))</f>
        <v>0</v>
      </c>
      <c r="T103" s="3">
        <f t="shared" si="3"/>
        <v>0</v>
      </c>
      <c r="U103" s="3" t="b">
        <f>IF(H103="węgiel kamienny",'Wskaźniki emisji 2015r'!$D$8,IF(H103="gaz ziemny",'Wskaźniki emisji 2015r'!$D$9,IF(H103="olej opałowy",'Wskaźniki emisji 2015r'!$D$10,IF(H103="drewno opałowe",'Wskaźniki emisji 2015r'!$D$11,IF(H103="energia elektryczna",'Wskaźniki emisji 2015r'!$D$15)))))</f>
        <v>0</v>
      </c>
      <c r="V103" s="5">
        <f t="shared" si="4"/>
        <v>0</v>
      </c>
      <c r="W103" s="5">
        <f t="shared" si="5"/>
        <v>0</v>
      </c>
      <c r="X103" s="2"/>
      <c r="Y103" s="2"/>
    </row>
    <row r="104" spans="1:25" s="6" customFormat="1" ht="20.399999999999999">
      <c r="A104" s="120">
        <v>62</v>
      </c>
      <c r="B104" s="198" t="s">
        <v>287</v>
      </c>
      <c r="C104" s="198" t="s">
        <v>288</v>
      </c>
      <c r="D104" s="120" t="s">
        <v>314</v>
      </c>
      <c r="E104" s="120" t="s">
        <v>121</v>
      </c>
      <c r="F104" s="120">
        <v>2002</v>
      </c>
      <c r="G104" s="119">
        <v>90</v>
      </c>
      <c r="H104" s="70" t="s">
        <v>115</v>
      </c>
      <c r="I104" s="119">
        <v>7</v>
      </c>
      <c r="J104" s="120" t="s">
        <v>3</v>
      </c>
      <c r="K104" s="198" t="s">
        <v>118</v>
      </c>
      <c r="L104" s="198">
        <v>1</v>
      </c>
      <c r="M104" s="198" t="s">
        <v>192</v>
      </c>
      <c r="N104" s="198">
        <v>2000</v>
      </c>
      <c r="O104" s="198"/>
      <c r="P104" s="198"/>
      <c r="Q104" s="120">
        <f>180*12/0.6</f>
        <v>3600</v>
      </c>
      <c r="R104" s="198">
        <f>IF(H104="gaz ziemny",'Wskaźniki emisji 2015r'!$B$22,0)</f>
        <v>0</v>
      </c>
      <c r="S104" s="4">
        <f>IF(H104="węgiel kamienny",'Wskaźniki emisji 2015r'!$B$8,IF(H104="gaz ziemny",'Wskaźniki emisji 2015r'!$B$9,IF(H104="drewno opałowe",'Wskaźniki emisji 2015r'!$B$11,IF(H104="olej opałowy",'Wskaźniki emisji 2015r'!$B$10,))))</f>
        <v>7.3377300000000005</v>
      </c>
      <c r="T104" s="3">
        <f t="shared" si="3"/>
        <v>7</v>
      </c>
      <c r="U104" s="3">
        <f>IF(H104="węgiel kamienny",'Wskaźniki emisji 2015r'!$D$8,IF(H104="gaz ziemny",'Wskaźniki emisji 2015r'!$D$9,IF(H104="olej opałowy",'Wskaźniki emisji 2015r'!$D$10,IF(H104="drewno opałowe",'Wskaźniki emisji 2015r'!$D$11,IF(H104="energia elektryczna",'Wskaźniki emisji 2015r'!$D$15)))))</f>
        <v>0.33920577617328518</v>
      </c>
      <c r="V104" s="5">
        <f t="shared" si="4"/>
        <v>51.364110000000004</v>
      </c>
      <c r="W104" s="5">
        <f t="shared" si="5"/>
        <v>17.423002799999999</v>
      </c>
      <c r="X104" s="2"/>
      <c r="Y104" s="2"/>
    </row>
    <row r="105" spans="1:25" s="6" customFormat="1" ht="20.399999999999999">
      <c r="A105" s="120">
        <v>63</v>
      </c>
      <c r="B105" s="198" t="s">
        <v>287</v>
      </c>
      <c r="C105" s="198" t="s">
        <v>288</v>
      </c>
      <c r="D105" s="198">
        <v>43</v>
      </c>
      <c r="E105" s="198" t="s">
        <v>121</v>
      </c>
      <c r="F105" s="120">
        <v>1960</v>
      </c>
      <c r="G105" s="119">
        <v>100</v>
      </c>
      <c r="H105" s="70" t="s">
        <v>114</v>
      </c>
      <c r="I105" s="119">
        <f>800*12*0.716/1000/0.25</f>
        <v>27.494399999999999</v>
      </c>
      <c r="J105" s="120" t="s">
        <v>3</v>
      </c>
      <c r="K105" s="120" t="s">
        <v>118</v>
      </c>
      <c r="L105" s="198">
        <v>1</v>
      </c>
      <c r="M105" s="198" t="s">
        <v>192</v>
      </c>
      <c r="N105" s="198">
        <v>100</v>
      </c>
      <c r="O105" s="198" t="s">
        <v>190</v>
      </c>
      <c r="P105" s="198"/>
      <c r="Q105" s="120">
        <f>150*12/0.6</f>
        <v>3000</v>
      </c>
      <c r="R105" s="198">
        <f>IF(H105="gaz ziemny",'Wskaźniki emisji 2015r'!$B$22,0)</f>
        <v>0.71599999999999997</v>
      </c>
      <c r="S105" s="4">
        <f>IF(H105="węgiel kamienny",'Wskaźniki emisji 2015r'!$B$8,IF(H105="gaz ziemny",'Wskaźniki emisji 2015r'!$B$9,IF(H105="drewno opałowe",'Wskaźniki emisji 2015r'!$B$11,IF(H105="olej opałowy",'Wskaźniki emisji 2015r'!$B$10,))))</f>
        <v>13.296000000000001</v>
      </c>
      <c r="T105" s="3">
        <f t="shared" si="3"/>
        <v>1.9685990399999999E-2</v>
      </c>
      <c r="U105" s="3">
        <f>IF(H105="węgiel kamienny",'Wskaźniki emisji 2015r'!$D$8,IF(H105="gaz ziemny",'Wskaźniki emisji 2015r'!$D$9,IF(H105="olej opałowy",'Wskaźniki emisji 2015r'!$D$10,IF(H105="drewno opałowe",'Wskaźniki emisji 2015r'!$D$11,IF(H105="energia elektryczna",'Wskaźniki emisji 2015r'!$D$15)))))</f>
        <v>0.2015162454873646</v>
      </c>
      <c r="V105" s="5">
        <f t="shared" si="4"/>
        <v>0.26174492835840002</v>
      </c>
      <c r="W105" s="5">
        <f t="shared" si="5"/>
        <v>5.2745855238143999E-2</v>
      </c>
      <c r="X105" s="2"/>
      <c r="Y105" s="2"/>
    </row>
    <row r="106" spans="1:25" s="6" customFormat="1" ht="20.399999999999999">
      <c r="A106" s="198"/>
      <c r="B106" s="198"/>
      <c r="C106" s="198"/>
      <c r="D106" s="198"/>
      <c r="E106" s="198"/>
      <c r="F106" s="198"/>
      <c r="G106" s="197"/>
      <c r="H106" s="70"/>
      <c r="I106" s="197"/>
      <c r="J106" s="198"/>
      <c r="K106" s="198"/>
      <c r="L106" s="198"/>
      <c r="M106" s="198"/>
      <c r="N106" s="198"/>
      <c r="O106" s="198" t="s">
        <v>194</v>
      </c>
      <c r="P106" s="198"/>
      <c r="Q106" s="198"/>
      <c r="R106" s="198"/>
      <c r="S106" s="4">
        <f>IF(H106="węgiel kamienny",'Wskaźniki emisji 2015r'!$B$8,IF(H106="gaz ziemny",'Wskaźniki emisji 2015r'!$B$9,IF(H106="drewno opałowe",'Wskaźniki emisji 2015r'!$B$11,IF(H106="olej opałowy",'Wskaźniki emisji 2015r'!$B$10,))))</f>
        <v>0</v>
      </c>
      <c r="T106" s="3">
        <f t="shared" si="3"/>
        <v>0</v>
      </c>
      <c r="U106" s="3" t="b">
        <f>IF(H106="węgiel kamienny",'Wskaźniki emisji 2015r'!$D$8,IF(H106="gaz ziemny",'Wskaźniki emisji 2015r'!$D$9,IF(H106="olej opałowy",'Wskaźniki emisji 2015r'!$D$10,IF(H106="drewno opałowe",'Wskaźniki emisji 2015r'!$D$11,IF(H106="energia elektryczna",'Wskaźniki emisji 2015r'!$D$15)))))</f>
        <v>0</v>
      </c>
      <c r="V106" s="5">
        <f t="shared" si="4"/>
        <v>0</v>
      </c>
      <c r="W106" s="5">
        <f t="shared" si="5"/>
        <v>0</v>
      </c>
      <c r="X106" s="2"/>
      <c r="Y106" s="2"/>
    </row>
    <row r="107" spans="1:25" s="6" customFormat="1" ht="20.399999999999999">
      <c r="A107" s="120">
        <v>64</v>
      </c>
      <c r="B107" s="198" t="s">
        <v>287</v>
      </c>
      <c r="C107" s="198" t="s">
        <v>288</v>
      </c>
      <c r="D107" s="120">
        <v>53</v>
      </c>
      <c r="E107" s="120" t="s">
        <v>121</v>
      </c>
      <c r="F107" s="120">
        <v>1960</v>
      </c>
      <c r="G107" s="119">
        <v>121</v>
      </c>
      <c r="H107" s="70" t="s">
        <v>115</v>
      </c>
      <c r="I107" s="119">
        <v>6</v>
      </c>
      <c r="J107" s="120" t="s">
        <v>3</v>
      </c>
      <c r="K107" s="120" t="s">
        <v>118</v>
      </c>
      <c r="L107" s="198">
        <v>1</v>
      </c>
      <c r="M107" s="198" t="s">
        <v>192</v>
      </c>
      <c r="N107" s="198">
        <v>1500</v>
      </c>
      <c r="O107" s="198"/>
      <c r="P107" s="198" t="s">
        <v>194</v>
      </c>
      <c r="Q107" s="120">
        <f>350*12/0.6</f>
        <v>7000</v>
      </c>
      <c r="R107" s="198">
        <f>IF(H107="gaz ziemny",'Wskaźniki emisji 2015r'!$B$22,0)</f>
        <v>0</v>
      </c>
      <c r="S107" s="4">
        <f>IF(H107="węgiel kamienny",'Wskaźniki emisji 2015r'!$B$8,IF(H107="gaz ziemny",'Wskaźniki emisji 2015r'!$B$9,IF(H107="drewno opałowe",'Wskaźniki emisji 2015r'!$B$11,IF(H107="olej opałowy",'Wskaźniki emisji 2015r'!$B$10,))))</f>
        <v>7.3377300000000005</v>
      </c>
      <c r="T107" s="3">
        <f t="shared" si="3"/>
        <v>6</v>
      </c>
      <c r="U107" s="3">
        <f>IF(H107="węgiel kamienny",'Wskaźniki emisji 2015r'!$D$8,IF(H107="gaz ziemny",'Wskaźniki emisji 2015r'!$D$9,IF(H107="olej opałowy",'Wskaźniki emisji 2015r'!$D$10,IF(H107="drewno opałowe",'Wskaźniki emisji 2015r'!$D$11,IF(H107="energia elektryczna",'Wskaźniki emisji 2015r'!$D$15)))))</f>
        <v>0.33920577617328518</v>
      </c>
      <c r="V107" s="5">
        <f t="shared" si="4"/>
        <v>44.026380000000003</v>
      </c>
      <c r="W107" s="5">
        <f t="shared" si="5"/>
        <v>14.934002400000001</v>
      </c>
      <c r="X107" s="2"/>
      <c r="Y107" s="2"/>
    </row>
    <row r="108" spans="1:25" ht="14.25" customHeight="1">
      <c r="A108" s="120">
        <v>65</v>
      </c>
      <c r="B108" s="198" t="s">
        <v>287</v>
      </c>
      <c r="C108" s="198" t="s">
        <v>288</v>
      </c>
      <c r="D108" s="198">
        <v>69</v>
      </c>
      <c r="E108" s="198" t="s">
        <v>121</v>
      </c>
      <c r="F108" s="120">
        <v>1955</v>
      </c>
      <c r="G108" s="119">
        <v>85</v>
      </c>
      <c r="H108" s="70" t="s">
        <v>115</v>
      </c>
      <c r="I108" s="119">
        <v>5</v>
      </c>
      <c r="J108" s="120" t="s">
        <v>3</v>
      </c>
      <c r="K108" s="120" t="s">
        <v>118</v>
      </c>
      <c r="L108" s="198">
        <v>1</v>
      </c>
      <c r="M108" s="198" t="s">
        <v>192</v>
      </c>
      <c r="N108" s="198">
        <v>3000</v>
      </c>
      <c r="O108" s="198"/>
      <c r="P108" s="198" t="s">
        <v>190</v>
      </c>
      <c r="Q108" s="120">
        <f>140*12/0.6</f>
        <v>2800</v>
      </c>
      <c r="R108" s="198">
        <f>IF(H108="gaz ziemny",'Wskaźniki emisji 2015r'!$B$22,0)</f>
        <v>0</v>
      </c>
      <c r="S108" s="4">
        <f>IF(H108="węgiel kamienny",'Wskaźniki emisji 2015r'!$B$8,IF(H108="gaz ziemny",'Wskaźniki emisji 2015r'!$B$9,IF(H108="drewno opałowe",'Wskaźniki emisji 2015r'!$B$11,IF(H108="olej opałowy",'Wskaźniki emisji 2015r'!$B$10,))))</f>
        <v>7.3377300000000005</v>
      </c>
      <c r="T108" s="3">
        <f t="shared" si="3"/>
        <v>5</v>
      </c>
      <c r="U108" s="3">
        <f>IF(H108="węgiel kamienny",'Wskaźniki emisji 2015r'!$D$8,IF(H108="gaz ziemny",'Wskaźniki emisji 2015r'!$D$9,IF(H108="olej opałowy",'Wskaźniki emisji 2015r'!$D$10,IF(H108="drewno opałowe",'Wskaźniki emisji 2015r'!$D$11,IF(H108="energia elektryczna",'Wskaźniki emisji 2015r'!$D$15)))))</f>
        <v>0.33920577617328518</v>
      </c>
      <c r="V108" s="5">
        <f t="shared" si="4"/>
        <v>36.688650000000003</v>
      </c>
      <c r="W108" s="5">
        <f t="shared" si="5"/>
        <v>12.445002000000001</v>
      </c>
    </row>
    <row r="109" spans="1:25" ht="14.25" customHeight="1">
      <c r="A109" s="198"/>
      <c r="B109" s="198"/>
      <c r="C109" s="198"/>
      <c r="D109" s="198"/>
      <c r="E109" s="198"/>
      <c r="F109" s="198"/>
      <c r="G109" s="197"/>
      <c r="H109" s="70"/>
      <c r="I109" s="197"/>
      <c r="J109" s="198"/>
      <c r="K109" s="198"/>
      <c r="L109" s="198"/>
      <c r="M109" s="198" t="s">
        <v>12</v>
      </c>
      <c r="N109" s="198"/>
      <c r="O109" s="198"/>
      <c r="P109" s="198"/>
      <c r="Q109" s="198"/>
      <c r="R109" s="198">
        <f>IF(H109="gaz ziemny",'Wskaźniki emisji 2015r'!$B$22,0)</f>
        <v>0</v>
      </c>
      <c r="S109" s="4">
        <f>IF(H109="węgiel kamienny",'Wskaźniki emisji 2015r'!$B$8,IF(H109="gaz ziemny",'Wskaźniki emisji 2015r'!$B$9,IF(H109="drewno opałowe",'Wskaźniki emisji 2015r'!$B$11,IF(H109="olej opałowy",'Wskaźniki emisji 2015r'!$B$10,))))</f>
        <v>0</v>
      </c>
      <c r="T109" s="3">
        <f t="shared" si="3"/>
        <v>0</v>
      </c>
      <c r="U109" s="3" t="b">
        <f>IF(H109="węgiel kamienny",'Wskaźniki emisji 2015r'!$D$8,IF(H109="gaz ziemny",'Wskaźniki emisji 2015r'!$D$9,IF(H109="olej opałowy",'Wskaźniki emisji 2015r'!$D$10,IF(H109="drewno opałowe",'Wskaźniki emisji 2015r'!$D$11,IF(H109="energia elektryczna",'Wskaźniki emisji 2015r'!$D$15)))))</f>
        <v>0</v>
      </c>
      <c r="V109" s="5">
        <f t="shared" si="4"/>
        <v>0</v>
      </c>
      <c r="W109" s="5">
        <f t="shared" si="5"/>
        <v>0</v>
      </c>
    </row>
    <row r="110" spans="1:25" ht="14.25" customHeight="1">
      <c r="A110" s="120">
        <v>66</v>
      </c>
      <c r="B110" s="198" t="s">
        <v>287</v>
      </c>
      <c r="C110" s="120" t="s">
        <v>303</v>
      </c>
      <c r="D110" s="120"/>
      <c r="E110" s="120" t="s">
        <v>121</v>
      </c>
      <c r="F110" s="120">
        <v>1976</v>
      </c>
      <c r="G110" s="119">
        <v>121</v>
      </c>
      <c r="H110" s="70" t="s">
        <v>115</v>
      </c>
      <c r="I110" s="119">
        <v>10.5</v>
      </c>
      <c r="J110" s="120" t="s">
        <v>3</v>
      </c>
      <c r="K110" s="120" t="s">
        <v>118</v>
      </c>
      <c r="L110" s="198">
        <v>3</v>
      </c>
      <c r="M110" s="198" t="s">
        <v>192</v>
      </c>
      <c r="N110" s="198"/>
      <c r="O110" s="198" t="s">
        <v>190</v>
      </c>
      <c r="P110" s="198" t="s">
        <v>195</v>
      </c>
      <c r="Q110" s="120">
        <f>300*12/0.6</f>
        <v>6000</v>
      </c>
      <c r="R110" s="198">
        <f>IF(H110="gaz ziemny",'Wskaźniki emisji 2015r'!$B$22,0)</f>
        <v>0</v>
      </c>
      <c r="S110" s="4">
        <f>IF(H110="węgiel kamienny",'Wskaźniki emisji 2015r'!$B$8,IF(H110="gaz ziemny",'Wskaźniki emisji 2015r'!$B$9,IF(H110="drewno opałowe",'Wskaźniki emisji 2015r'!$B$11,IF(H110="olej opałowy",'Wskaźniki emisji 2015r'!$B$10,))))</f>
        <v>7.3377300000000005</v>
      </c>
      <c r="T110" s="3">
        <f t="shared" si="3"/>
        <v>10.5</v>
      </c>
      <c r="U110" s="3">
        <f>IF(H110="węgiel kamienny",'Wskaźniki emisji 2015r'!$D$8,IF(H110="gaz ziemny",'Wskaźniki emisji 2015r'!$D$9,IF(H110="olej opałowy",'Wskaźniki emisji 2015r'!$D$10,IF(H110="drewno opałowe",'Wskaźniki emisji 2015r'!$D$11,IF(H110="energia elektryczna",'Wskaźniki emisji 2015r'!$D$15)))))</f>
        <v>0.33920577617328518</v>
      </c>
      <c r="V110" s="5">
        <f t="shared" si="4"/>
        <v>77.046165000000002</v>
      </c>
      <c r="W110" s="5">
        <f t="shared" si="5"/>
        <v>26.134504199999999</v>
      </c>
    </row>
    <row r="111" spans="1:25" ht="19.5" customHeight="1">
      <c r="A111" s="120">
        <v>67</v>
      </c>
      <c r="B111" s="198" t="s">
        <v>287</v>
      </c>
      <c r="C111" s="198" t="s">
        <v>303</v>
      </c>
      <c r="D111" s="198">
        <v>14</v>
      </c>
      <c r="E111" s="198" t="s">
        <v>121</v>
      </c>
      <c r="F111" s="120">
        <v>1998</v>
      </c>
      <c r="G111" s="119">
        <v>80</v>
      </c>
      <c r="H111" s="70" t="s">
        <v>115</v>
      </c>
      <c r="I111" s="119">
        <v>8</v>
      </c>
      <c r="J111" s="120" t="s">
        <v>3</v>
      </c>
      <c r="K111" s="120" t="s">
        <v>118</v>
      </c>
      <c r="L111" s="198">
        <v>1</v>
      </c>
      <c r="M111" s="198" t="s">
        <v>192</v>
      </c>
      <c r="N111" s="198"/>
      <c r="O111" s="198" t="s">
        <v>190</v>
      </c>
      <c r="P111" s="198"/>
      <c r="Q111" s="120">
        <f>230*12/0.6</f>
        <v>4600</v>
      </c>
      <c r="R111" s="198">
        <f>IF(H111="gaz ziemny",'Wskaźniki emisji 2015r'!$B$22,0)</f>
        <v>0</v>
      </c>
      <c r="S111" s="4">
        <f>IF(H111="węgiel kamienny",'Wskaźniki emisji 2015r'!$B$8,IF(H111="gaz ziemny",'Wskaźniki emisji 2015r'!$B$9,IF(H111="drewno opałowe",'Wskaźniki emisji 2015r'!$B$11,IF(H111="olej opałowy",'Wskaźniki emisji 2015r'!$B$10,))))</f>
        <v>7.3377300000000005</v>
      </c>
      <c r="T111" s="3">
        <f t="shared" si="3"/>
        <v>8</v>
      </c>
      <c r="U111" s="3">
        <f>IF(H111="węgiel kamienny",'Wskaźniki emisji 2015r'!$D$8,IF(H111="gaz ziemny",'Wskaźniki emisji 2015r'!$D$9,IF(H111="olej opałowy",'Wskaźniki emisji 2015r'!$D$10,IF(H111="drewno opałowe",'Wskaźniki emisji 2015r'!$D$11,IF(H111="energia elektryczna",'Wskaźniki emisji 2015r'!$D$15)))))</f>
        <v>0.33920577617328518</v>
      </c>
      <c r="V111" s="5">
        <f t="shared" si="4"/>
        <v>58.701840000000004</v>
      </c>
      <c r="W111" s="5">
        <f t="shared" si="5"/>
        <v>19.912003200000001</v>
      </c>
    </row>
    <row r="112" spans="1:25" ht="19.5" customHeight="1">
      <c r="A112" s="198"/>
      <c r="B112" s="198"/>
      <c r="C112" s="198"/>
      <c r="D112" s="198"/>
      <c r="E112" s="198"/>
      <c r="F112" s="198"/>
      <c r="G112" s="197"/>
      <c r="H112" s="70"/>
      <c r="I112" s="197"/>
      <c r="J112" s="198"/>
      <c r="K112" s="198"/>
      <c r="L112" s="198"/>
      <c r="M112" s="198" t="s">
        <v>12</v>
      </c>
      <c r="N112" s="198"/>
      <c r="O112" s="198"/>
      <c r="P112" s="198"/>
      <c r="Q112" s="198"/>
      <c r="R112" s="198">
        <f>IF(H112="gaz ziemny",'Wskaźniki emisji 2015r'!$B$22,0)</f>
        <v>0</v>
      </c>
      <c r="S112" s="4">
        <f>IF(H112="węgiel kamienny",'Wskaźniki emisji 2015r'!$B$8,IF(H112="gaz ziemny",'Wskaźniki emisji 2015r'!$B$9,IF(H112="drewno opałowe",'Wskaźniki emisji 2015r'!$B$11,IF(H112="olej opałowy",'Wskaźniki emisji 2015r'!$B$10,))))</f>
        <v>0</v>
      </c>
      <c r="T112" s="3">
        <f t="shared" si="3"/>
        <v>0</v>
      </c>
      <c r="U112" s="3" t="b">
        <f>IF(H112="węgiel kamienny",'Wskaźniki emisji 2015r'!$D$8,IF(H112="gaz ziemny",'Wskaźniki emisji 2015r'!$D$9,IF(H112="olej opałowy",'Wskaźniki emisji 2015r'!$D$10,IF(H112="drewno opałowe",'Wskaźniki emisji 2015r'!$D$11,IF(H112="energia elektryczna",'Wskaźniki emisji 2015r'!$D$15)))))</f>
        <v>0</v>
      </c>
      <c r="V112" s="5">
        <f t="shared" si="4"/>
        <v>0</v>
      </c>
      <c r="W112" s="5">
        <f t="shared" si="5"/>
        <v>0</v>
      </c>
    </row>
    <row r="113" spans="1:23" ht="20.399999999999999">
      <c r="A113" s="120">
        <v>68</v>
      </c>
      <c r="B113" s="198" t="s">
        <v>287</v>
      </c>
      <c r="C113" s="120" t="s">
        <v>308</v>
      </c>
      <c r="D113" s="120">
        <v>2</v>
      </c>
      <c r="E113" s="120" t="s">
        <v>121</v>
      </c>
      <c r="F113" s="120">
        <v>1976</v>
      </c>
      <c r="G113" s="119">
        <v>110</v>
      </c>
      <c r="H113" s="70" t="s">
        <v>115</v>
      </c>
      <c r="I113" s="119">
        <v>6</v>
      </c>
      <c r="J113" s="120" t="s">
        <v>3</v>
      </c>
      <c r="K113" s="120" t="s">
        <v>118</v>
      </c>
      <c r="L113" s="198">
        <v>2</v>
      </c>
      <c r="M113" s="198" t="s">
        <v>192</v>
      </c>
      <c r="N113" s="198">
        <v>1000</v>
      </c>
      <c r="O113" s="198" t="s">
        <v>190</v>
      </c>
      <c r="P113" s="198"/>
      <c r="Q113" s="120">
        <f>150*12/0.6</f>
        <v>3000</v>
      </c>
      <c r="R113" s="198">
        <f>IF(H113="gaz ziemny",'Wskaźniki emisji 2015r'!$B$22,0)</f>
        <v>0</v>
      </c>
      <c r="S113" s="4">
        <f>IF(H113="węgiel kamienny",'Wskaźniki emisji 2015r'!$B$8,IF(H113="gaz ziemny",'Wskaźniki emisji 2015r'!$B$9,IF(H113="drewno opałowe",'Wskaźniki emisji 2015r'!$B$11,IF(H113="olej opałowy",'Wskaźniki emisji 2015r'!$B$10,))))</f>
        <v>7.3377300000000005</v>
      </c>
      <c r="T113" s="3">
        <f t="shared" si="3"/>
        <v>6</v>
      </c>
      <c r="U113" s="3">
        <f>IF(H113="węgiel kamienny",'Wskaźniki emisji 2015r'!$D$8,IF(H113="gaz ziemny",'Wskaźniki emisji 2015r'!$D$9,IF(H113="olej opałowy",'Wskaźniki emisji 2015r'!$D$10,IF(H113="drewno opałowe",'Wskaźniki emisji 2015r'!$D$11,IF(H113="energia elektryczna",'Wskaźniki emisji 2015r'!$D$15)))))</f>
        <v>0.33920577617328518</v>
      </c>
      <c r="V113" s="5">
        <f t="shared" si="4"/>
        <v>44.026380000000003</v>
      </c>
      <c r="W113" s="5">
        <f t="shared" si="5"/>
        <v>14.934002400000001</v>
      </c>
    </row>
    <row r="114" spans="1:23">
      <c r="A114" s="198"/>
      <c r="B114" s="198"/>
      <c r="C114" s="198"/>
      <c r="D114" s="198"/>
      <c r="E114" s="198"/>
      <c r="F114" s="198"/>
      <c r="G114" s="197"/>
      <c r="H114" s="70"/>
      <c r="I114" s="197"/>
      <c r="J114" s="198"/>
      <c r="K114" s="198"/>
      <c r="L114" s="198"/>
      <c r="M114" s="198" t="s">
        <v>12</v>
      </c>
      <c r="N114" s="198"/>
      <c r="O114" s="198"/>
      <c r="P114" s="198"/>
      <c r="Q114" s="198"/>
      <c r="R114" s="198"/>
      <c r="S114" s="4">
        <f>IF(H114="węgiel kamienny",'Wskaźniki emisji 2015r'!$B$8,IF(H114="gaz ziemny",'Wskaźniki emisji 2015r'!$B$9,IF(H114="drewno opałowe",'Wskaźniki emisji 2015r'!$B$11,IF(H114="olej opałowy",'Wskaźniki emisji 2015r'!$B$10,))))</f>
        <v>0</v>
      </c>
      <c r="T114" s="3">
        <f t="shared" si="3"/>
        <v>0</v>
      </c>
      <c r="U114" s="3" t="b">
        <f>IF(H114="węgiel kamienny",'Wskaźniki emisji 2015r'!$D$8,IF(H114="gaz ziemny",'Wskaźniki emisji 2015r'!$D$9,IF(H114="olej opałowy",'Wskaźniki emisji 2015r'!$D$10,IF(H114="drewno opałowe",'Wskaźniki emisji 2015r'!$D$11,IF(H114="energia elektryczna",'Wskaźniki emisji 2015r'!$D$15)))))</f>
        <v>0</v>
      </c>
      <c r="V114" s="5">
        <f t="shared" si="4"/>
        <v>0</v>
      </c>
      <c r="W114" s="5">
        <f t="shared" si="5"/>
        <v>0</v>
      </c>
    </row>
    <row r="115" spans="1:23" ht="20.399999999999999">
      <c r="A115" s="198">
        <v>69</v>
      </c>
      <c r="B115" s="198" t="s">
        <v>287</v>
      </c>
      <c r="C115" s="198" t="s">
        <v>288</v>
      </c>
      <c r="D115" s="228"/>
      <c r="E115" s="228" t="s">
        <v>121</v>
      </c>
      <c r="F115" s="198">
        <v>1953</v>
      </c>
      <c r="G115" s="197">
        <v>160</v>
      </c>
      <c r="H115" s="70" t="s">
        <v>114</v>
      </c>
      <c r="I115" s="120"/>
      <c r="J115" s="120" t="s">
        <v>3</v>
      </c>
      <c r="K115" s="120" t="s">
        <v>118</v>
      </c>
      <c r="L115" s="198">
        <v>1</v>
      </c>
      <c r="M115" s="198" t="s">
        <v>192</v>
      </c>
      <c r="N115" s="198">
        <v>150</v>
      </c>
      <c r="O115" s="198" t="s">
        <v>190</v>
      </c>
      <c r="P115" s="198"/>
      <c r="Q115" s="120">
        <f>100*12/0.6</f>
        <v>2000</v>
      </c>
      <c r="R115" s="198">
        <f>IF(H115="gaz ziemny",'Wskaźniki emisji 2015r'!$B$22,0)</f>
        <v>0.71599999999999997</v>
      </c>
      <c r="S115" s="4">
        <f>IF(H115="węgiel kamienny",'Wskaźniki emisji 2015r'!$B$8,IF(H115="gaz ziemny",'Wskaźniki emisji 2015r'!$B$9,IF(H115="drewno opałowe",'Wskaźniki emisji 2015r'!$B$11,IF(H115="olej opałowy",'Wskaźniki emisji 2015r'!$B$10,))))</f>
        <v>13.296000000000001</v>
      </c>
      <c r="T115" s="3">
        <f t="shared" si="3"/>
        <v>0</v>
      </c>
      <c r="U115" s="3">
        <f>IF(H115="węgiel kamienny",'Wskaźniki emisji 2015r'!$D$8,IF(H115="gaz ziemny",'Wskaźniki emisji 2015r'!$D$9,IF(H115="olej opałowy",'Wskaźniki emisji 2015r'!$D$10,IF(H115="drewno opałowe",'Wskaźniki emisji 2015r'!$D$11,IF(H115="energia elektryczna",'Wskaźniki emisji 2015r'!$D$15)))))</f>
        <v>0.2015162454873646</v>
      </c>
      <c r="V115" s="5">
        <f t="shared" si="4"/>
        <v>0</v>
      </c>
      <c r="W115" s="5">
        <f t="shared" si="5"/>
        <v>0</v>
      </c>
    </row>
    <row r="116" spans="1:23" ht="20.399999999999999">
      <c r="A116" s="198"/>
      <c r="B116" s="198"/>
      <c r="C116" s="228"/>
      <c r="D116" s="228"/>
      <c r="E116" s="228"/>
      <c r="F116" s="198"/>
      <c r="G116" s="197"/>
      <c r="H116" s="70"/>
      <c r="I116" s="198"/>
      <c r="J116" s="198"/>
      <c r="K116" s="198"/>
      <c r="L116" s="198"/>
      <c r="M116" s="198"/>
      <c r="N116" s="198"/>
      <c r="O116" s="198" t="s">
        <v>194</v>
      </c>
      <c r="P116" s="198"/>
      <c r="Q116" s="198"/>
      <c r="R116" s="198">
        <f>IF(H116="gaz ziemny",'Wskaźniki emisji 2015r'!$B$22,0)</f>
        <v>0</v>
      </c>
      <c r="S116" s="4">
        <f>IF(H116="węgiel kamienny",'Wskaźniki emisji 2015r'!$B$8,IF(H116="gaz ziemny",'Wskaźniki emisji 2015r'!$B$9,IF(H116="drewno opałowe",'Wskaźniki emisji 2015r'!$B$11,IF(H116="olej opałowy",'Wskaźniki emisji 2015r'!$B$10,))))</f>
        <v>0</v>
      </c>
      <c r="T116" s="3">
        <f t="shared" si="3"/>
        <v>0</v>
      </c>
      <c r="U116" s="3" t="b">
        <f>IF(H116="węgiel kamienny",'Wskaźniki emisji 2015r'!$D$8,IF(H116="gaz ziemny",'Wskaźniki emisji 2015r'!$D$9,IF(H116="olej opałowy",'Wskaźniki emisji 2015r'!$D$10,IF(H116="drewno opałowe",'Wskaźniki emisji 2015r'!$D$11,IF(H116="energia elektryczna",'Wskaźniki emisji 2015r'!$D$15)))))</f>
        <v>0</v>
      </c>
      <c r="V116" s="5">
        <f t="shared" si="4"/>
        <v>0</v>
      </c>
      <c r="W116" s="5">
        <f t="shared" si="5"/>
        <v>0</v>
      </c>
    </row>
    <row r="117" spans="1:23" ht="20.399999999999999">
      <c r="A117" s="120">
        <v>70</v>
      </c>
      <c r="B117" s="198" t="s">
        <v>287</v>
      </c>
      <c r="C117" s="198" t="s">
        <v>308</v>
      </c>
      <c r="D117" s="120">
        <v>6</v>
      </c>
      <c r="E117" s="120" t="s">
        <v>121</v>
      </c>
      <c r="F117" s="120">
        <v>1950</v>
      </c>
      <c r="G117" s="119">
        <v>90</v>
      </c>
      <c r="H117" s="70" t="s">
        <v>115</v>
      </c>
      <c r="I117" s="119">
        <v>5</v>
      </c>
      <c r="J117" s="120" t="s">
        <v>3</v>
      </c>
      <c r="K117" s="120" t="s">
        <v>118</v>
      </c>
      <c r="L117" s="198">
        <v>1</v>
      </c>
      <c r="M117" s="198" t="s">
        <v>192</v>
      </c>
      <c r="N117" s="198">
        <v>300</v>
      </c>
      <c r="O117" s="198" t="s">
        <v>190</v>
      </c>
      <c r="P117" s="198"/>
      <c r="Q117" s="120">
        <f>400*12/0.6</f>
        <v>8000</v>
      </c>
      <c r="R117" s="198">
        <f>IF(H117="gaz ziemny",'Wskaźniki emisji 2015r'!$B$22,0)</f>
        <v>0</v>
      </c>
      <c r="S117" s="4">
        <f>IF(H117="węgiel kamienny",'Wskaźniki emisji 2015r'!$B$8,IF(H117="gaz ziemny",'Wskaźniki emisji 2015r'!$B$9,IF(H117="drewno opałowe",'Wskaźniki emisji 2015r'!$B$11,IF(H117="olej opałowy",'Wskaźniki emisji 2015r'!$B$10,))))</f>
        <v>7.3377300000000005</v>
      </c>
      <c r="T117" s="3">
        <f t="shared" si="3"/>
        <v>5</v>
      </c>
      <c r="U117" s="3">
        <f>IF(H117="węgiel kamienny",'Wskaźniki emisji 2015r'!$D$8,IF(H117="gaz ziemny",'Wskaźniki emisji 2015r'!$D$9,IF(H117="olej opałowy",'Wskaźniki emisji 2015r'!$D$10,IF(H117="drewno opałowe",'Wskaźniki emisji 2015r'!$D$11,IF(H117="energia elektryczna",'Wskaźniki emisji 2015r'!$D$15)))))</f>
        <v>0.33920577617328518</v>
      </c>
      <c r="V117" s="5">
        <f t="shared" si="4"/>
        <v>36.688650000000003</v>
      </c>
      <c r="W117" s="5">
        <f t="shared" si="5"/>
        <v>12.445002000000001</v>
      </c>
    </row>
    <row r="118" spans="1:23" ht="20.399999999999999">
      <c r="A118" s="120">
        <v>71</v>
      </c>
      <c r="B118" s="198" t="s">
        <v>287</v>
      </c>
      <c r="C118" s="198" t="s">
        <v>308</v>
      </c>
      <c r="D118" s="198">
        <v>28</v>
      </c>
      <c r="E118" s="198" t="s">
        <v>121</v>
      </c>
      <c r="F118" s="120">
        <v>1975</v>
      </c>
      <c r="G118" s="119">
        <v>90</v>
      </c>
      <c r="H118" s="70" t="s">
        <v>115</v>
      </c>
      <c r="I118" s="119">
        <v>6</v>
      </c>
      <c r="J118" s="120" t="s">
        <v>3</v>
      </c>
      <c r="K118" s="198" t="s">
        <v>118</v>
      </c>
      <c r="L118" s="198"/>
      <c r="M118" s="198"/>
      <c r="N118" s="198"/>
      <c r="O118" s="198" t="s">
        <v>190</v>
      </c>
      <c r="P118" s="198" t="s">
        <v>194</v>
      </c>
      <c r="Q118" s="120">
        <f>200*12/0.6</f>
        <v>4000</v>
      </c>
      <c r="R118" s="198">
        <f>IF(H118="gaz ziemny",'Wskaźniki emisji 2015r'!$B$22,0)</f>
        <v>0</v>
      </c>
      <c r="S118" s="4">
        <f>IF(H118="węgiel kamienny",'Wskaźniki emisji 2015r'!$B$8,IF(H118="gaz ziemny",'Wskaźniki emisji 2015r'!$B$9,IF(H118="drewno opałowe",'Wskaźniki emisji 2015r'!$B$11,IF(H118="olej opałowy",'Wskaźniki emisji 2015r'!$B$10,))))</f>
        <v>7.3377300000000005</v>
      </c>
      <c r="T118" s="3">
        <f t="shared" si="3"/>
        <v>6</v>
      </c>
      <c r="U118" s="3">
        <f>IF(H118="węgiel kamienny",'Wskaźniki emisji 2015r'!$D$8,IF(H118="gaz ziemny",'Wskaźniki emisji 2015r'!$D$9,IF(H118="olej opałowy",'Wskaźniki emisji 2015r'!$D$10,IF(H118="drewno opałowe",'Wskaźniki emisji 2015r'!$D$11,IF(H118="energia elektryczna",'Wskaźniki emisji 2015r'!$D$15)))))</f>
        <v>0.33920577617328518</v>
      </c>
      <c r="V118" s="5">
        <f t="shared" si="4"/>
        <v>44.026380000000003</v>
      </c>
      <c r="W118" s="5">
        <f t="shared" si="5"/>
        <v>14.934002400000001</v>
      </c>
    </row>
    <row r="119" spans="1:23" ht="20.399999999999999">
      <c r="A119" s="120">
        <v>72</v>
      </c>
      <c r="B119" s="198" t="s">
        <v>287</v>
      </c>
      <c r="C119" s="198" t="s">
        <v>308</v>
      </c>
      <c r="D119" s="198">
        <v>12</v>
      </c>
      <c r="E119" s="198" t="s">
        <v>121</v>
      </c>
      <c r="F119" s="120">
        <v>1971</v>
      </c>
      <c r="G119" s="119">
        <v>110</v>
      </c>
      <c r="H119" s="70" t="s">
        <v>115</v>
      </c>
      <c r="I119" s="119">
        <v>4.5</v>
      </c>
      <c r="J119" s="120" t="s">
        <v>3</v>
      </c>
      <c r="K119" s="120" t="s">
        <v>118</v>
      </c>
      <c r="L119" s="198">
        <v>1</v>
      </c>
      <c r="M119" s="198" t="s">
        <v>192</v>
      </c>
      <c r="N119" s="198">
        <v>250</v>
      </c>
      <c r="O119" s="198" t="s">
        <v>190</v>
      </c>
      <c r="P119" s="198"/>
      <c r="Q119" s="120">
        <f>140*12/0.6</f>
        <v>2800</v>
      </c>
      <c r="R119" s="198">
        <f>IF(H119="gaz ziemny",'Wskaźniki emisji 2015r'!$B$22,0)</f>
        <v>0</v>
      </c>
      <c r="S119" s="4">
        <f>IF(H119="węgiel kamienny",'Wskaźniki emisji 2015r'!$B$8,IF(H119="gaz ziemny",'Wskaźniki emisji 2015r'!$B$9,IF(H119="drewno opałowe",'Wskaźniki emisji 2015r'!$B$11,IF(H119="olej opałowy",'Wskaźniki emisji 2015r'!$B$10,))))</f>
        <v>7.3377300000000005</v>
      </c>
      <c r="T119" s="3">
        <f t="shared" si="3"/>
        <v>4.5</v>
      </c>
      <c r="U119" s="3">
        <f>IF(H119="węgiel kamienny",'Wskaźniki emisji 2015r'!$D$8,IF(H119="gaz ziemny",'Wskaźniki emisji 2015r'!$D$9,IF(H119="olej opałowy",'Wskaźniki emisji 2015r'!$D$10,IF(H119="drewno opałowe",'Wskaźniki emisji 2015r'!$D$11,IF(H119="energia elektryczna",'Wskaźniki emisji 2015r'!$D$15)))))</f>
        <v>0.33920577617328518</v>
      </c>
      <c r="V119" s="5">
        <f t="shared" si="4"/>
        <v>33.019784999999999</v>
      </c>
      <c r="W119" s="5">
        <f t="shared" si="5"/>
        <v>11.2005018</v>
      </c>
    </row>
    <row r="120" spans="1:23" ht="20.399999999999999">
      <c r="A120" s="198"/>
      <c r="B120" s="198"/>
      <c r="C120" s="198"/>
      <c r="D120" s="198"/>
      <c r="E120" s="198"/>
      <c r="F120" s="198"/>
      <c r="G120" s="197"/>
      <c r="H120" s="70"/>
      <c r="I120" s="197"/>
      <c r="J120" s="198"/>
      <c r="K120" s="198"/>
      <c r="L120" s="198"/>
      <c r="M120" s="198"/>
      <c r="N120" s="198"/>
      <c r="O120" s="198" t="s">
        <v>194</v>
      </c>
      <c r="P120" s="198"/>
      <c r="Q120" s="198"/>
      <c r="R120" s="198">
        <f>IF(H120="gaz ziemny",'Wskaźniki emisji 2015r'!$B$22,0)</f>
        <v>0</v>
      </c>
      <c r="S120" s="4">
        <f>IF(H120="węgiel kamienny",'Wskaźniki emisji 2015r'!$B$8,IF(H120="gaz ziemny",'Wskaźniki emisji 2015r'!$B$9,IF(H120="drewno opałowe",'Wskaźniki emisji 2015r'!$B$11,IF(H120="olej opałowy",'Wskaźniki emisji 2015r'!$B$10,))))</f>
        <v>0</v>
      </c>
      <c r="T120" s="3">
        <f t="shared" si="3"/>
        <v>0</v>
      </c>
      <c r="U120" s="3" t="b">
        <f>IF(H120="węgiel kamienny",'Wskaźniki emisji 2015r'!$D$8,IF(H120="gaz ziemny",'Wskaźniki emisji 2015r'!$D$9,IF(H120="olej opałowy",'Wskaźniki emisji 2015r'!$D$10,IF(H120="drewno opałowe",'Wskaźniki emisji 2015r'!$D$11,IF(H120="energia elektryczna",'Wskaźniki emisji 2015r'!$D$15)))))</f>
        <v>0</v>
      </c>
      <c r="V120" s="5">
        <f t="shared" si="4"/>
        <v>0</v>
      </c>
      <c r="W120" s="5">
        <f t="shared" si="5"/>
        <v>0</v>
      </c>
    </row>
    <row r="121" spans="1:23" ht="20.399999999999999">
      <c r="A121" s="120">
        <v>73</v>
      </c>
      <c r="B121" s="198" t="s">
        <v>287</v>
      </c>
      <c r="C121" s="198" t="s">
        <v>308</v>
      </c>
      <c r="D121" s="120">
        <v>8</v>
      </c>
      <c r="E121" s="120" t="s">
        <v>121</v>
      </c>
      <c r="F121" s="120">
        <v>1973</v>
      </c>
      <c r="G121" s="119">
        <v>110</v>
      </c>
      <c r="H121" s="70" t="s">
        <v>115</v>
      </c>
      <c r="I121" s="119">
        <v>7</v>
      </c>
      <c r="J121" s="120" t="s">
        <v>3</v>
      </c>
      <c r="K121" s="120" t="s">
        <v>118</v>
      </c>
      <c r="L121" s="198">
        <v>1</v>
      </c>
      <c r="M121" s="198" t="s">
        <v>192</v>
      </c>
      <c r="N121" s="198"/>
      <c r="O121" s="198" t="s">
        <v>190</v>
      </c>
      <c r="P121" s="198"/>
      <c r="Q121" s="120">
        <f>250*12/0.6</f>
        <v>5000</v>
      </c>
      <c r="R121" s="198">
        <f>IF(H121="gaz ziemny",'Wskaźniki emisji 2015r'!$B$22,0)</f>
        <v>0</v>
      </c>
      <c r="S121" s="4">
        <f>IF(H121="węgiel kamienny",'Wskaźniki emisji 2015r'!$B$8,IF(H121="gaz ziemny",'Wskaźniki emisji 2015r'!$B$9,IF(H121="drewno opałowe",'Wskaźniki emisji 2015r'!$B$11,IF(H121="olej opałowy",'Wskaźniki emisji 2015r'!$B$10,))))</f>
        <v>7.3377300000000005</v>
      </c>
      <c r="T121" s="3">
        <f t="shared" si="3"/>
        <v>7</v>
      </c>
      <c r="U121" s="3">
        <f>IF(H121="węgiel kamienny",'Wskaźniki emisji 2015r'!$D$8,IF(H121="gaz ziemny",'Wskaźniki emisji 2015r'!$D$9,IF(H121="olej opałowy",'Wskaźniki emisji 2015r'!$D$10,IF(H121="drewno opałowe",'Wskaźniki emisji 2015r'!$D$11,IF(H121="energia elektryczna",'Wskaźniki emisji 2015r'!$D$15)))))</f>
        <v>0.33920577617328518</v>
      </c>
      <c r="V121" s="5">
        <f t="shared" si="4"/>
        <v>51.364110000000004</v>
      </c>
      <c r="W121" s="5">
        <f t="shared" si="5"/>
        <v>17.423002799999999</v>
      </c>
    </row>
    <row r="122" spans="1:23">
      <c r="A122" s="198"/>
      <c r="B122" s="198"/>
      <c r="C122" s="198"/>
      <c r="D122" s="198"/>
      <c r="E122" s="198"/>
      <c r="F122" s="198"/>
      <c r="G122" s="197"/>
      <c r="H122" s="70"/>
      <c r="I122" s="197"/>
      <c r="J122" s="198"/>
      <c r="K122" s="198"/>
      <c r="L122" s="198"/>
      <c r="M122" s="198" t="s">
        <v>12</v>
      </c>
      <c r="N122" s="198"/>
      <c r="O122" s="198"/>
      <c r="P122" s="198"/>
      <c r="Q122" s="198"/>
      <c r="R122" s="198">
        <f>IF(H122="gaz ziemny",'Wskaźniki emisji 2015r'!$B$22,0)</f>
        <v>0</v>
      </c>
      <c r="S122" s="4">
        <f>IF(H122="węgiel kamienny",'Wskaźniki emisji 2015r'!$B$8,IF(H122="gaz ziemny",'Wskaźniki emisji 2015r'!$B$9,IF(H122="drewno opałowe",'Wskaźniki emisji 2015r'!$B$11,IF(H122="olej opałowy",'Wskaźniki emisji 2015r'!$B$10,))))</f>
        <v>0</v>
      </c>
      <c r="T122" s="3">
        <f t="shared" si="3"/>
        <v>0</v>
      </c>
      <c r="U122" s="3" t="b">
        <f>IF(H122="węgiel kamienny",'Wskaźniki emisji 2015r'!$D$8,IF(H122="gaz ziemny",'Wskaźniki emisji 2015r'!$D$9,IF(H122="olej opałowy",'Wskaźniki emisji 2015r'!$D$10,IF(H122="drewno opałowe",'Wskaźniki emisji 2015r'!$D$11,IF(H122="energia elektryczna",'Wskaźniki emisji 2015r'!$D$15)))))</f>
        <v>0</v>
      </c>
      <c r="V122" s="5">
        <f t="shared" si="4"/>
        <v>0</v>
      </c>
      <c r="W122" s="5">
        <f t="shared" si="5"/>
        <v>0</v>
      </c>
    </row>
    <row r="123" spans="1:23" ht="20.399999999999999">
      <c r="A123" s="198">
        <v>74</v>
      </c>
      <c r="B123" s="198" t="s">
        <v>287</v>
      </c>
      <c r="C123" s="198" t="s">
        <v>288</v>
      </c>
      <c r="D123" s="198">
        <v>350</v>
      </c>
      <c r="E123" s="198" t="s">
        <v>121</v>
      </c>
      <c r="F123" s="198">
        <v>1956</v>
      </c>
      <c r="G123" s="197">
        <v>100</v>
      </c>
      <c r="H123" s="70" t="s">
        <v>115</v>
      </c>
      <c r="I123" s="119">
        <v>5</v>
      </c>
      <c r="J123" s="120" t="s">
        <v>3</v>
      </c>
      <c r="K123" s="120" t="s">
        <v>118</v>
      </c>
      <c r="L123" s="198">
        <v>1</v>
      </c>
      <c r="M123" s="198" t="s">
        <v>192</v>
      </c>
      <c r="N123" s="198">
        <v>1000</v>
      </c>
      <c r="O123" s="198" t="s">
        <v>190</v>
      </c>
      <c r="P123" s="198" t="s">
        <v>194</v>
      </c>
      <c r="Q123" s="120">
        <f>130*12/0.6</f>
        <v>2600</v>
      </c>
      <c r="R123" s="198">
        <f>IF(H123="gaz ziemny",'Wskaźniki emisji 2015r'!$B$22,0)</f>
        <v>0</v>
      </c>
      <c r="S123" s="4">
        <f>IF(H123="węgiel kamienny",'Wskaźniki emisji 2015r'!$B$8,IF(H123="gaz ziemny",'Wskaźniki emisji 2015r'!$B$9,IF(H123="drewno opałowe",'Wskaźniki emisji 2015r'!$B$11,IF(H123="olej opałowy",'Wskaźniki emisji 2015r'!$B$10,))))</f>
        <v>7.3377300000000005</v>
      </c>
      <c r="T123" s="3">
        <f t="shared" si="3"/>
        <v>5</v>
      </c>
      <c r="U123" s="3">
        <f>IF(H123="węgiel kamienny",'Wskaźniki emisji 2015r'!$D$8,IF(H123="gaz ziemny",'Wskaźniki emisji 2015r'!$D$9,IF(H123="olej opałowy",'Wskaźniki emisji 2015r'!$D$10,IF(H123="drewno opałowe",'Wskaźniki emisji 2015r'!$D$11,IF(H123="energia elektryczna",'Wskaźniki emisji 2015r'!$D$15)))))</f>
        <v>0.33920577617328518</v>
      </c>
      <c r="V123" s="5">
        <f t="shared" si="4"/>
        <v>36.688650000000003</v>
      </c>
      <c r="W123" s="5">
        <f t="shared" si="5"/>
        <v>12.445002000000001</v>
      </c>
    </row>
    <row r="124" spans="1:23">
      <c r="A124" s="198"/>
      <c r="B124" s="198"/>
      <c r="C124" s="198"/>
      <c r="D124" s="198"/>
      <c r="E124" s="198"/>
      <c r="F124" s="198"/>
      <c r="G124" s="197"/>
      <c r="H124" s="70"/>
      <c r="I124" s="197"/>
      <c r="J124" s="198"/>
      <c r="K124" s="198"/>
      <c r="L124" s="198"/>
      <c r="M124" s="198" t="s">
        <v>12</v>
      </c>
      <c r="N124" s="198"/>
      <c r="O124" s="198"/>
      <c r="P124" s="198"/>
      <c r="Q124" s="198"/>
      <c r="R124" s="198"/>
      <c r="S124" s="4">
        <f>IF(H124="węgiel kamienny",'Wskaźniki emisji 2015r'!$B$8,IF(H124="gaz ziemny",'Wskaźniki emisji 2015r'!$B$9,IF(H124="drewno opałowe",'Wskaźniki emisji 2015r'!$B$11,IF(H124="olej opałowy",'Wskaźniki emisji 2015r'!$B$10,))))</f>
        <v>0</v>
      </c>
      <c r="T124" s="3">
        <f t="shared" si="3"/>
        <v>0</v>
      </c>
      <c r="U124" s="3" t="b">
        <f>IF(H124="węgiel kamienny",'Wskaźniki emisji 2015r'!$D$8,IF(H124="gaz ziemny",'Wskaźniki emisji 2015r'!$D$9,IF(H124="olej opałowy",'Wskaźniki emisji 2015r'!$D$10,IF(H124="drewno opałowe",'Wskaźniki emisji 2015r'!$D$11,IF(H124="energia elektryczna",'Wskaźniki emisji 2015r'!$D$15)))))</f>
        <v>0</v>
      </c>
      <c r="V124" s="5">
        <f t="shared" si="4"/>
        <v>0</v>
      </c>
      <c r="W124" s="5">
        <f t="shared" si="5"/>
        <v>0</v>
      </c>
    </row>
    <row r="125" spans="1:23" ht="20.399999999999999">
      <c r="A125" s="120">
        <v>75</v>
      </c>
      <c r="B125" s="198" t="s">
        <v>287</v>
      </c>
      <c r="C125" s="120" t="s">
        <v>315</v>
      </c>
      <c r="D125" s="120">
        <v>8</v>
      </c>
      <c r="E125" s="120" t="s">
        <v>117</v>
      </c>
      <c r="F125" s="120">
        <v>1997</v>
      </c>
      <c r="G125" s="119">
        <v>100</v>
      </c>
      <c r="H125" s="70" t="s">
        <v>115</v>
      </c>
      <c r="I125" s="119">
        <v>5.5</v>
      </c>
      <c r="J125" s="120" t="s">
        <v>3</v>
      </c>
      <c r="K125" s="198" t="s">
        <v>118</v>
      </c>
      <c r="L125" s="198">
        <v>1</v>
      </c>
      <c r="M125" s="198" t="s">
        <v>188</v>
      </c>
      <c r="N125" s="198">
        <v>1800</v>
      </c>
      <c r="O125" s="198"/>
      <c r="P125" s="198"/>
      <c r="Q125" s="120">
        <f>200*12/0.6</f>
        <v>4000</v>
      </c>
      <c r="R125" s="198">
        <f>IF(H125="gaz ziemny",'Wskaźniki emisji 2015r'!$B$22,0)</f>
        <v>0</v>
      </c>
      <c r="S125" s="4">
        <f>IF(H125="węgiel kamienny",'Wskaźniki emisji 2015r'!$B$8,IF(H125="gaz ziemny",'Wskaźniki emisji 2015r'!$B$9,IF(H125="drewno opałowe",'Wskaźniki emisji 2015r'!$B$11,IF(H125="olej opałowy",'Wskaźniki emisji 2015r'!$B$10,))))</f>
        <v>7.3377300000000005</v>
      </c>
      <c r="T125" s="3">
        <f t="shared" si="3"/>
        <v>5.5</v>
      </c>
      <c r="U125" s="3">
        <f>IF(H125="węgiel kamienny",'Wskaźniki emisji 2015r'!$D$8,IF(H125="gaz ziemny",'Wskaźniki emisji 2015r'!$D$9,IF(H125="olej opałowy",'Wskaźniki emisji 2015r'!$D$10,IF(H125="drewno opałowe",'Wskaźniki emisji 2015r'!$D$11,IF(H125="energia elektryczna",'Wskaźniki emisji 2015r'!$D$15)))))</f>
        <v>0.33920577617328518</v>
      </c>
      <c r="V125" s="5">
        <f t="shared" si="4"/>
        <v>40.357515000000006</v>
      </c>
      <c r="W125" s="5">
        <f t="shared" si="5"/>
        <v>13.689502200000002</v>
      </c>
    </row>
    <row r="126" spans="1:23" ht="20.399999999999999">
      <c r="A126" s="120">
        <v>76</v>
      </c>
      <c r="B126" s="198" t="s">
        <v>287</v>
      </c>
      <c r="C126" s="198" t="s">
        <v>315</v>
      </c>
      <c r="D126" s="120">
        <v>6</v>
      </c>
      <c r="E126" s="120" t="s">
        <v>117</v>
      </c>
      <c r="F126" s="120">
        <v>1982</v>
      </c>
      <c r="G126" s="119">
        <v>121</v>
      </c>
      <c r="H126" s="70" t="s">
        <v>115</v>
      </c>
      <c r="I126" s="119">
        <v>6</v>
      </c>
      <c r="J126" s="120" t="s">
        <v>3</v>
      </c>
      <c r="K126" s="120" t="s">
        <v>118</v>
      </c>
      <c r="L126" s="198">
        <v>2</v>
      </c>
      <c r="M126" s="198" t="s">
        <v>192</v>
      </c>
      <c r="N126" s="198">
        <v>8000</v>
      </c>
      <c r="O126" s="198" t="s">
        <v>190</v>
      </c>
      <c r="P126" s="198"/>
      <c r="Q126" s="120">
        <f>150*12/0.6</f>
        <v>3000</v>
      </c>
      <c r="R126" s="198">
        <f>IF(H126="gaz ziemny",'Wskaźniki emisji 2015r'!$B$22,0)</f>
        <v>0</v>
      </c>
      <c r="S126" s="4">
        <f>IF(H126="węgiel kamienny",'Wskaźniki emisji 2015r'!$B$8,IF(H126="gaz ziemny",'Wskaźniki emisji 2015r'!$B$9,IF(H126="drewno opałowe",'Wskaźniki emisji 2015r'!$B$11,IF(H126="olej opałowy",'Wskaźniki emisji 2015r'!$B$10,))))</f>
        <v>7.3377300000000005</v>
      </c>
      <c r="T126" s="3">
        <f t="shared" si="3"/>
        <v>6</v>
      </c>
      <c r="U126" s="3">
        <f>IF(H126="węgiel kamienny",'Wskaźniki emisji 2015r'!$D$8,IF(H126="gaz ziemny",'Wskaźniki emisji 2015r'!$D$9,IF(H126="olej opałowy",'Wskaźniki emisji 2015r'!$D$10,IF(H126="drewno opałowe",'Wskaźniki emisji 2015r'!$D$11,IF(H126="energia elektryczna",'Wskaźniki emisji 2015r'!$D$15)))))</f>
        <v>0.33920577617328518</v>
      </c>
      <c r="V126" s="5">
        <f t="shared" si="4"/>
        <v>44.026380000000003</v>
      </c>
      <c r="W126" s="5">
        <f t="shared" si="5"/>
        <v>14.934002400000001</v>
      </c>
    </row>
    <row r="127" spans="1:23">
      <c r="A127" s="198"/>
      <c r="B127" s="198"/>
      <c r="C127" s="198"/>
      <c r="D127" s="198"/>
      <c r="E127" s="198"/>
      <c r="F127" s="198"/>
      <c r="G127" s="197"/>
      <c r="H127" s="70"/>
      <c r="I127" s="197"/>
      <c r="J127" s="198"/>
      <c r="K127" s="198"/>
      <c r="L127" s="198"/>
      <c r="M127" s="198" t="s">
        <v>12</v>
      </c>
      <c r="N127" s="198"/>
      <c r="O127" s="198"/>
      <c r="P127" s="198"/>
      <c r="Q127" s="198"/>
      <c r="R127" s="198"/>
      <c r="S127" s="4">
        <f>IF(H127="węgiel kamienny",'Wskaźniki emisji 2015r'!$B$8,IF(H127="gaz ziemny",'Wskaźniki emisji 2015r'!$B$9,IF(H127="drewno opałowe",'Wskaźniki emisji 2015r'!$B$11,IF(H127="olej opałowy",'Wskaźniki emisji 2015r'!$B$10,))))</f>
        <v>0</v>
      </c>
      <c r="T127" s="3">
        <f t="shared" si="3"/>
        <v>0</v>
      </c>
      <c r="U127" s="3" t="b">
        <f>IF(H127="węgiel kamienny",'Wskaźniki emisji 2015r'!$D$8,IF(H127="gaz ziemny",'Wskaźniki emisji 2015r'!$D$9,IF(H127="olej opałowy",'Wskaźniki emisji 2015r'!$D$10,IF(H127="drewno opałowe",'Wskaźniki emisji 2015r'!$D$11,IF(H127="energia elektryczna",'Wskaźniki emisji 2015r'!$D$15)))))</f>
        <v>0</v>
      </c>
      <c r="V127" s="5">
        <f t="shared" si="4"/>
        <v>0</v>
      </c>
      <c r="W127" s="5">
        <f t="shared" si="5"/>
        <v>0</v>
      </c>
    </row>
    <row r="128" spans="1:23" ht="20.399999999999999">
      <c r="A128" s="120">
        <v>77</v>
      </c>
      <c r="B128" s="198" t="s">
        <v>287</v>
      </c>
      <c r="C128" s="198" t="s">
        <v>315</v>
      </c>
      <c r="D128" s="120">
        <v>2</v>
      </c>
      <c r="E128" s="120" t="s">
        <v>117</v>
      </c>
      <c r="F128" s="120">
        <v>1970</v>
      </c>
      <c r="G128" s="119">
        <v>120</v>
      </c>
      <c r="H128" s="70" t="s">
        <v>115</v>
      </c>
      <c r="I128" s="119">
        <v>5</v>
      </c>
      <c r="J128" s="120" t="s">
        <v>3</v>
      </c>
      <c r="K128" s="120" t="s">
        <v>118</v>
      </c>
      <c r="L128" s="198">
        <v>3</v>
      </c>
      <c r="M128" s="198" t="s">
        <v>188</v>
      </c>
      <c r="N128" s="198">
        <v>2000</v>
      </c>
      <c r="O128" s="198" t="s">
        <v>194</v>
      </c>
      <c r="P128" s="198" t="s">
        <v>195</v>
      </c>
      <c r="Q128" s="120">
        <f>200*12/0.6</f>
        <v>4000</v>
      </c>
      <c r="R128" s="198">
        <f>IF(H128="gaz ziemny",'Wskaźniki emisji 2015r'!$B$22,0)</f>
        <v>0</v>
      </c>
      <c r="S128" s="4">
        <f>IF(H128="węgiel kamienny",'Wskaźniki emisji 2015r'!$B$8,IF(H128="gaz ziemny",'Wskaźniki emisji 2015r'!$B$9,IF(H128="drewno opałowe",'Wskaźniki emisji 2015r'!$B$11,IF(H128="olej opałowy",'Wskaźniki emisji 2015r'!$B$10,))))</f>
        <v>7.3377300000000005</v>
      </c>
      <c r="T128" s="3">
        <f t="shared" si="3"/>
        <v>5</v>
      </c>
      <c r="U128" s="3">
        <f>IF(H128="węgiel kamienny",'Wskaźniki emisji 2015r'!$D$8,IF(H128="gaz ziemny",'Wskaźniki emisji 2015r'!$D$9,IF(H128="olej opałowy",'Wskaźniki emisji 2015r'!$D$10,IF(H128="drewno opałowe",'Wskaźniki emisji 2015r'!$D$11,IF(H128="energia elektryczna",'Wskaźniki emisji 2015r'!$D$15)))))</f>
        <v>0.33920577617328518</v>
      </c>
      <c r="V128" s="5">
        <f t="shared" si="4"/>
        <v>36.688650000000003</v>
      </c>
      <c r="W128" s="5">
        <f t="shared" si="5"/>
        <v>12.445002000000001</v>
      </c>
    </row>
    <row r="129" spans="1:23">
      <c r="A129" s="198"/>
      <c r="B129" s="198"/>
      <c r="C129" s="198"/>
      <c r="D129" s="198"/>
      <c r="E129" s="198"/>
      <c r="F129" s="198"/>
      <c r="G129" s="197"/>
      <c r="H129" s="70"/>
      <c r="I129" s="197"/>
      <c r="J129" s="198"/>
      <c r="K129" s="198"/>
      <c r="L129" s="198"/>
      <c r="M129" s="198"/>
      <c r="N129" s="198"/>
      <c r="O129" s="198" t="s">
        <v>190</v>
      </c>
      <c r="P129" s="198"/>
      <c r="Q129" s="198"/>
      <c r="R129" s="198"/>
      <c r="S129" s="4">
        <f>IF(H129="węgiel kamienny",'Wskaźniki emisji 2015r'!$B$8,IF(H129="gaz ziemny",'Wskaźniki emisji 2015r'!$B$9,IF(H129="drewno opałowe",'Wskaźniki emisji 2015r'!$B$11,IF(H129="olej opałowy",'Wskaźniki emisji 2015r'!$B$10,))))</f>
        <v>0</v>
      </c>
      <c r="T129" s="3">
        <f t="shared" si="3"/>
        <v>0</v>
      </c>
      <c r="U129" s="3" t="b">
        <f>IF(H129="węgiel kamienny",'Wskaźniki emisji 2015r'!$D$8,IF(H129="gaz ziemny",'Wskaźniki emisji 2015r'!$D$9,IF(H129="olej opałowy",'Wskaźniki emisji 2015r'!$D$10,IF(H129="drewno opałowe",'Wskaźniki emisji 2015r'!$D$11,IF(H129="energia elektryczna",'Wskaźniki emisji 2015r'!$D$15)))))</f>
        <v>0</v>
      </c>
      <c r="V129" s="5">
        <f t="shared" si="4"/>
        <v>0</v>
      </c>
      <c r="W129" s="5">
        <f t="shared" si="5"/>
        <v>0</v>
      </c>
    </row>
    <row r="130" spans="1:23" ht="20.399999999999999">
      <c r="A130" s="120">
        <v>78</v>
      </c>
      <c r="B130" s="198" t="s">
        <v>287</v>
      </c>
      <c r="C130" s="120" t="s">
        <v>313</v>
      </c>
      <c r="D130" s="120">
        <v>2</v>
      </c>
      <c r="E130" s="120" t="s">
        <v>117</v>
      </c>
      <c r="F130" s="120">
        <v>1979</v>
      </c>
      <c r="G130" s="119">
        <v>100</v>
      </c>
      <c r="H130" s="70" t="s">
        <v>115</v>
      </c>
      <c r="I130" s="119">
        <v>5.5</v>
      </c>
      <c r="J130" s="120" t="s">
        <v>3</v>
      </c>
      <c r="K130" s="120" t="s">
        <v>118</v>
      </c>
      <c r="L130" s="198">
        <v>1</v>
      </c>
      <c r="M130" s="198" t="s">
        <v>192</v>
      </c>
      <c r="N130" s="198">
        <v>300</v>
      </c>
      <c r="O130" s="198" t="s">
        <v>190</v>
      </c>
      <c r="P130" s="198" t="s">
        <v>195</v>
      </c>
      <c r="Q130" s="120">
        <f>130*12/0.6</f>
        <v>2600</v>
      </c>
      <c r="R130" s="198">
        <f>IF(H130="gaz ziemny",'Wskaźniki emisji 2015r'!$B$22,0)</f>
        <v>0</v>
      </c>
      <c r="S130" s="4">
        <f>IF(H130="węgiel kamienny",'Wskaźniki emisji 2015r'!$B$8,IF(H130="gaz ziemny",'Wskaźniki emisji 2015r'!$B$9,IF(H130="drewno opałowe",'Wskaźniki emisji 2015r'!$B$11,IF(H130="olej opałowy",'Wskaźniki emisji 2015r'!$B$10,))))</f>
        <v>7.3377300000000005</v>
      </c>
      <c r="T130" s="3">
        <f t="shared" si="3"/>
        <v>5.5</v>
      </c>
      <c r="U130" s="3">
        <f>IF(H130="węgiel kamienny",'Wskaźniki emisji 2015r'!$D$8,IF(H130="gaz ziemny",'Wskaźniki emisji 2015r'!$D$9,IF(H130="olej opałowy",'Wskaźniki emisji 2015r'!$D$10,IF(H130="drewno opałowe",'Wskaźniki emisji 2015r'!$D$11,IF(H130="energia elektryczna",'Wskaźniki emisji 2015r'!$D$15)))))</f>
        <v>0.33920577617328518</v>
      </c>
      <c r="V130" s="5">
        <f t="shared" si="4"/>
        <v>40.357515000000006</v>
      </c>
      <c r="W130" s="5">
        <f t="shared" si="5"/>
        <v>13.689502200000002</v>
      </c>
    </row>
    <row r="131" spans="1:23">
      <c r="A131" s="198"/>
      <c r="B131" s="198"/>
      <c r="C131" s="198"/>
      <c r="D131" s="198"/>
      <c r="E131" s="198"/>
      <c r="F131" s="198"/>
      <c r="G131" s="197"/>
      <c r="H131" s="70"/>
      <c r="I131" s="197"/>
      <c r="J131" s="198"/>
      <c r="K131" s="198"/>
      <c r="L131" s="198"/>
      <c r="M131" s="198" t="s">
        <v>192</v>
      </c>
      <c r="N131" s="198"/>
      <c r="O131" s="198" t="s">
        <v>190</v>
      </c>
      <c r="P131" s="198"/>
      <c r="Q131" s="198"/>
      <c r="R131" s="198">
        <f>IF(H131="gaz ziemny",'Wskaźniki emisji 2015r'!$B$22,0)</f>
        <v>0</v>
      </c>
      <c r="S131" s="4">
        <f>IF(H131="węgiel kamienny",'Wskaźniki emisji 2015r'!$B$8,IF(H131="gaz ziemny",'Wskaźniki emisji 2015r'!$B$9,IF(H131="drewno opałowe",'Wskaźniki emisji 2015r'!$B$11,IF(H131="olej opałowy",'Wskaźniki emisji 2015r'!$B$10,))))</f>
        <v>0</v>
      </c>
      <c r="T131" s="3">
        <f t="shared" si="3"/>
        <v>0</v>
      </c>
      <c r="U131" s="3" t="b">
        <f>IF(H131="węgiel kamienny",'Wskaźniki emisji 2015r'!$D$8,IF(H131="gaz ziemny",'Wskaźniki emisji 2015r'!$D$9,IF(H131="olej opałowy",'Wskaźniki emisji 2015r'!$D$10,IF(H131="drewno opałowe",'Wskaźniki emisji 2015r'!$D$11,IF(H131="energia elektryczna",'Wskaźniki emisji 2015r'!$D$15)))))</f>
        <v>0</v>
      </c>
      <c r="V131" s="5">
        <f t="shared" si="4"/>
        <v>0</v>
      </c>
      <c r="W131" s="5">
        <f t="shared" si="5"/>
        <v>0</v>
      </c>
    </row>
    <row r="132" spans="1:23" ht="20.399999999999999">
      <c r="A132" s="120">
        <v>79</v>
      </c>
      <c r="B132" s="198" t="s">
        <v>287</v>
      </c>
      <c r="C132" s="198" t="s">
        <v>313</v>
      </c>
      <c r="D132" s="120">
        <v>4</v>
      </c>
      <c r="E132" s="120" t="s">
        <v>121</v>
      </c>
      <c r="F132" s="120">
        <v>1988</v>
      </c>
      <c r="G132" s="119">
        <v>100</v>
      </c>
      <c r="H132" s="70" t="s">
        <v>115</v>
      </c>
      <c r="I132" s="119">
        <v>5</v>
      </c>
      <c r="J132" s="120" t="s">
        <v>3</v>
      </c>
      <c r="K132" s="120" t="s">
        <v>118</v>
      </c>
      <c r="L132" s="198">
        <v>1</v>
      </c>
      <c r="M132" s="198" t="s">
        <v>192</v>
      </c>
      <c r="N132" s="198">
        <v>1200</v>
      </c>
      <c r="O132" s="198" t="s">
        <v>190</v>
      </c>
      <c r="P132" s="198"/>
      <c r="Q132" s="120">
        <f>160*12/0.6</f>
        <v>3200</v>
      </c>
      <c r="R132" s="198">
        <f>IF(H132="gaz ziemny",'Wskaźniki emisji 2015r'!$B$22,0)</f>
        <v>0</v>
      </c>
      <c r="S132" s="4">
        <f>IF(H132="węgiel kamienny",'Wskaźniki emisji 2015r'!$B$8,IF(H132="gaz ziemny",'Wskaźniki emisji 2015r'!$B$9,IF(H132="drewno opałowe",'Wskaźniki emisji 2015r'!$B$11,IF(H132="olej opałowy",'Wskaźniki emisji 2015r'!$B$10,))))</f>
        <v>7.3377300000000005</v>
      </c>
      <c r="T132" s="3">
        <f t="shared" ref="T132:T133" si="6">IF(R132=0,I132,I132*R132/1000)</f>
        <v>5</v>
      </c>
      <c r="U132" s="3">
        <f>IF(H132="węgiel kamienny",'Wskaźniki emisji 2015r'!$D$8,IF(H132="gaz ziemny",'Wskaźniki emisji 2015r'!$D$9,IF(H132="olej opałowy",'Wskaźniki emisji 2015r'!$D$10,IF(H132="drewno opałowe",'Wskaźniki emisji 2015r'!$D$11,IF(H132="energia elektryczna",'Wskaźniki emisji 2015r'!$D$15)))))</f>
        <v>0.33920577617328518</v>
      </c>
      <c r="V132" s="5">
        <f t="shared" ref="V132:V133" si="7">S132*T132</f>
        <v>36.688650000000003</v>
      </c>
      <c r="W132" s="5">
        <f t="shared" ref="W132:W133" si="8">V132*U132</f>
        <v>12.445002000000001</v>
      </c>
    </row>
    <row r="133" spans="1:23">
      <c r="A133" s="198"/>
      <c r="B133" s="198"/>
      <c r="C133" s="198"/>
      <c r="D133" s="198"/>
      <c r="E133" s="198"/>
      <c r="F133" s="198"/>
      <c r="G133" s="197"/>
      <c r="H133" s="70"/>
      <c r="I133" s="197"/>
      <c r="J133" s="198"/>
      <c r="K133" s="198"/>
      <c r="L133" s="198"/>
      <c r="M133" s="198" t="s">
        <v>12</v>
      </c>
      <c r="N133" s="198"/>
      <c r="O133" s="198"/>
      <c r="P133" s="198"/>
      <c r="Q133" s="198"/>
      <c r="R133" s="198">
        <f>IF(H133="gaz ziemny",'Wskaźniki emisji 2015r'!$B$22,0)</f>
        <v>0</v>
      </c>
      <c r="S133" s="4">
        <f>IF(H133="węgiel kamienny",'Wskaźniki emisji 2015r'!$B$8,IF(H133="gaz ziemny",'Wskaźniki emisji 2015r'!$B$9,IF(H133="drewno opałowe",'Wskaźniki emisji 2015r'!$B$11,IF(H133="olej opałowy",'Wskaźniki emisji 2015r'!$B$10,))))</f>
        <v>0</v>
      </c>
      <c r="T133" s="3">
        <f t="shared" si="6"/>
        <v>0</v>
      </c>
      <c r="U133" s="3" t="b">
        <f>IF(H133="węgiel kamienny",'Wskaźniki emisji 2015r'!$D$8,IF(H133="gaz ziemny",'Wskaźniki emisji 2015r'!$D$9,IF(H133="olej opałowy",'Wskaźniki emisji 2015r'!$D$10,IF(H133="drewno opałowe",'Wskaźniki emisji 2015r'!$D$11,IF(H133="energia elektryczna",'Wskaźniki emisji 2015r'!$D$15)))))</f>
        <v>0</v>
      </c>
      <c r="V133" s="5">
        <f t="shared" si="7"/>
        <v>0</v>
      </c>
      <c r="W133" s="5">
        <f t="shared" si="8"/>
        <v>0</v>
      </c>
    </row>
    <row r="134" spans="1:23">
      <c r="A134" s="73"/>
      <c r="B134" s="73"/>
      <c r="C134" s="73"/>
      <c r="D134" s="73"/>
      <c r="E134" s="73"/>
      <c r="F134" s="73"/>
      <c r="G134" s="114"/>
      <c r="H134" s="115"/>
      <c r="I134" s="92"/>
      <c r="J134" s="73"/>
      <c r="K134" s="73"/>
      <c r="L134" s="73"/>
      <c r="M134" s="73"/>
      <c r="N134" s="73"/>
      <c r="O134" s="73"/>
      <c r="P134" s="73"/>
      <c r="Q134" s="73"/>
      <c r="R134" s="73"/>
      <c r="S134" s="116"/>
      <c r="T134" s="117"/>
      <c r="U134" s="117"/>
      <c r="V134" s="118"/>
      <c r="W134" s="118"/>
    </row>
    <row r="135" spans="1:23">
      <c r="A135" s="73"/>
      <c r="B135" s="73"/>
      <c r="C135" s="73"/>
      <c r="D135" s="73"/>
      <c r="E135" s="73"/>
      <c r="F135" s="73"/>
      <c r="G135" s="114"/>
      <c r="H135" s="115"/>
      <c r="I135" s="92"/>
      <c r="J135" s="73"/>
      <c r="K135" s="73"/>
      <c r="L135" s="73"/>
      <c r="M135" s="73"/>
      <c r="N135" s="73"/>
      <c r="O135" s="73"/>
      <c r="P135" s="73"/>
      <c r="Q135" s="73"/>
      <c r="R135" s="73"/>
      <c r="S135" s="116"/>
      <c r="T135" s="117"/>
      <c r="U135" s="117"/>
      <c r="V135" s="118"/>
      <c r="W135" s="118"/>
    </row>
    <row r="136" spans="1:23">
      <c r="A136" s="73"/>
      <c r="B136" s="73"/>
      <c r="C136" s="73"/>
      <c r="D136" s="73"/>
      <c r="E136" s="73"/>
      <c r="F136" s="73"/>
      <c r="G136" s="114"/>
      <c r="H136" s="115"/>
      <c r="I136" s="92"/>
      <c r="J136" s="73"/>
      <c r="K136" s="73"/>
      <c r="L136" s="73"/>
      <c r="M136" s="73"/>
      <c r="N136" s="73"/>
      <c r="O136" s="73"/>
      <c r="P136" s="73"/>
      <c r="Q136" s="73"/>
      <c r="R136" s="73"/>
      <c r="S136" s="116"/>
      <c r="T136" s="117"/>
      <c r="U136" s="117"/>
      <c r="V136" s="118"/>
      <c r="W136" s="118"/>
    </row>
    <row r="137" spans="1:23">
      <c r="A137" s="73"/>
      <c r="B137" s="73"/>
      <c r="C137" s="73"/>
      <c r="D137" s="73"/>
      <c r="E137" s="73"/>
      <c r="F137" s="73"/>
      <c r="G137" s="114"/>
      <c r="H137" s="115"/>
      <c r="I137" s="92"/>
      <c r="J137" s="73"/>
      <c r="K137" s="73"/>
      <c r="L137" s="73"/>
      <c r="M137" s="73"/>
      <c r="N137" s="73"/>
      <c r="O137" s="73"/>
      <c r="P137" s="73"/>
      <c r="Q137" s="73"/>
      <c r="R137" s="73"/>
      <c r="S137" s="116"/>
      <c r="T137" s="117"/>
      <c r="U137" s="117"/>
      <c r="V137" s="118"/>
      <c r="W137" s="118"/>
    </row>
    <row r="138" spans="1:23">
      <c r="A138" s="73"/>
      <c r="B138" s="73"/>
      <c r="C138" s="73"/>
      <c r="D138" s="73"/>
      <c r="E138" s="73"/>
      <c r="F138" s="73"/>
      <c r="G138" s="114"/>
      <c r="H138" s="115"/>
      <c r="I138" s="92"/>
      <c r="J138" s="73"/>
      <c r="K138" s="73"/>
      <c r="L138" s="73"/>
      <c r="M138" s="73"/>
      <c r="N138" s="73"/>
      <c r="O138" s="73"/>
      <c r="P138" s="73"/>
      <c r="Q138" s="73"/>
      <c r="R138" s="73"/>
      <c r="S138" s="116"/>
      <c r="T138" s="117"/>
      <c r="U138" s="117"/>
      <c r="V138" s="118"/>
      <c r="W138" s="118"/>
    </row>
    <row r="139" spans="1:23">
      <c r="A139" s="73"/>
      <c r="B139" s="73"/>
      <c r="C139" s="73"/>
      <c r="D139" s="73"/>
      <c r="E139" s="73"/>
      <c r="F139" s="73"/>
      <c r="G139" s="114"/>
      <c r="H139" s="115"/>
      <c r="I139" s="92"/>
      <c r="J139" s="73"/>
      <c r="K139" s="73"/>
      <c r="L139" s="73"/>
      <c r="M139" s="73"/>
      <c r="N139" s="73"/>
      <c r="O139" s="73"/>
      <c r="P139" s="73"/>
      <c r="Q139" s="73"/>
      <c r="R139" s="73"/>
      <c r="S139" s="116"/>
      <c r="T139" s="117"/>
      <c r="U139" s="117"/>
      <c r="V139" s="118"/>
      <c r="W139" s="118"/>
    </row>
    <row r="140" spans="1:23" ht="15" customHeight="1">
      <c r="C140" s="432" t="s">
        <v>126</v>
      </c>
      <c r="D140" s="433"/>
      <c r="E140" s="433"/>
      <c r="F140" s="433"/>
      <c r="G140" s="433"/>
      <c r="H140" s="434"/>
    </row>
    <row r="141" spans="1:23">
      <c r="C141" s="68"/>
      <c r="D141" s="68" t="s">
        <v>127</v>
      </c>
      <c r="E141" s="68" t="s">
        <v>115</v>
      </c>
      <c r="F141" s="68" t="s">
        <v>114</v>
      </c>
      <c r="G141" s="68" t="s">
        <v>163</v>
      </c>
      <c r="H141" s="69"/>
    </row>
    <row r="142" spans="1:23">
      <c r="C142" s="68" t="s">
        <v>124</v>
      </c>
      <c r="D142" s="68">
        <v>79</v>
      </c>
      <c r="E142" s="77">
        <f>SUMIF($H$3:$H$133,"węgiel kamienny",$V$3:$V$133)</f>
        <v>2696.6157750000002</v>
      </c>
      <c r="F142" s="77">
        <f>SUMIF($H$3:$H$133,"gaz ziemny",$V$3:$V$133)</f>
        <v>137.63058297016326</v>
      </c>
      <c r="G142" s="77">
        <f>SUMIF($H$3:$H$133,"drewno opałowe",$V$3:$V$133)</f>
        <v>220.38120000000001</v>
      </c>
      <c r="H142" s="77">
        <f>SUM(V3:V133)</f>
        <v>3054.6275579701633</v>
      </c>
      <c r="I142" s="76">
        <f>H142-F142</f>
        <v>2916.996975</v>
      </c>
    </row>
    <row r="143" spans="1:23">
      <c r="C143" s="68" t="s">
        <v>125</v>
      </c>
      <c r="D143" s="68">
        <v>1888</v>
      </c>
      <c r="E143" s="68">
        <f>$D$143*E142/$D$142</f>
        <v>64445.70358481013</v>
      </c>
      <c r="F143" s="77">
        <f>(645900*'Wskaźniki emisji 2015r'!B22/1000)*'Wskaźniki emisji 2015r'!B9</f>
        <v>6148.9266624000002</v>
      </c>
      <c r="G143" s="68">
        <f>$D$143*G142/$D$142</f>
        <v>5266.8317164556956</v>
      </c>
      <c r="H143" s="78">
        <f>SUM(E143:G143)</f>
        <v>75861.461963665817</v>
      </c>
    </row>
    <row r="144" spans="1:23" ht="35.25" customHeight="1">
      <c r="C144" s="435" t="s">
        <v>316</v>
      </c>
      <c r="D144" s="435"/>
      <c r="E144" s="435"/>
      <c r="F144" s="435"/>
      <c r="G144" s="435"/>
      <c r="H144" s="435"/>
    </row>
    <row r="145" spans="3:9">
      <c r="C145" s="305"/>
      <c r="D145" s="305"/>
      <c r="E145" s="305"/>
      <c r="F145" s="305"/>
      <c r="G145" s="305"/>
      <c r="H145" s="305">
        <v>2010</v>
      </c>
      <c r="I145" s="305">
        <v>2015</v>
      </c>
    </row>
    <row r="146" spans="3:9">
      <c r="C146" s="431" t="s">
        <v>128</v>
      </c>
      <c r="D146" s="431"/>
      <c r="E146" s="431"/>
      <c r="F146" s="431"/>
      <c r="G146" s="431"/>
      <c r="H146" s="431"/>
      <c r="I146" s="305"/>
    </row>
    <row r="147" spans="3:9">
      <c r="C147" s="431" t="s">
        <v>335</v>
      </c>
      <c r="D147" s="431"/>
      <c r="E147" s="431"/>
      <c r="F147" s="431"/>
      <c r="G147" s="431"/>
      <c r="H147" s="305">
        <v>4634635</v>
      </c>
      <c r="I147" s="305">
        <v>4585924</v>
      </c>
    </row>
    <row r="148" spans="3:9">
      <c r="C148" s="431" t="s">
        <v>337</v>
      </c>
      <c r="D148" s="431"/>
      <c r="E148" s="431"/>
      <c r="F148" s="431"/>
      <c r="G148" s="431"/>
      <c r="H148" s="305">
        <v>792.1</v>
      </c>
      <c r="I148" s="305">
        <v>754.6</v>
      </c>
    </row>
    <row r="149" spans="3:9">
      <c r="C149" s="431" t="s">
        <v>336</v>
      </c>
      <c r="D149" s="431"/>
      <c r="E149" s="431"/>
      <c r="F149" s="431"/>
      <c r="G149" s="431"/>
      <c r="H149" s="305">
        <v>5568</v>
      </c>
      <c r="I149" s="305">
        <v>5652</v>
      </c>
    </row>
    <row r="150" spans="3:9">
      <c r="C150" s="431" t="s">
        <v>338</v>
      </c>
      <c r="D150" s="431"/>
      <c r="E150" s="431"/>
      <c r="F150" s="431"/>
      <c r="G150" s="431"/>
      <c r="H150" s="336">
        <f>H148*H149</f>
        <v>4410412.8</v>
      </c>
      <c r="I150" s="336">
        <f>I148*I149</f>
        <v>4264999.2</v>
      </c>
    </row>
    <row r="151" spans="3:9">
      <c r="C151" s="430"/>
      <c r="D151" s="430"/>
      <c r="E151" s="430"/>
      <c r="F151" s="430"/>
      <c r="G151" s="430"/>
      <c r="H151" s="73">
        <f>H150/1000</f>
        <v>4410.4128000000001</v>
      </c>
      <c r="I151" s="73">
        <f>I150/1000</f>
        <v>4264.9992000000002</v>
      </c>
    </row>
    <row r="152" spans="3:9">
      <c r="H152" s="73">
        <f>1816*1954.1</f>
        <v>3548645.5999999996</v>
      </c>
      <c r="I152" s="72">
        <f>1888*1848.7</f>
        <v>3490345.6</v>
      </c>
    </row>
  </sheetData>
  <autoFilter ref="A1:W133">
    <filterColumn colId="4" showButton="0"/>
    <filterColumn colId="5" showButton="0"/>
    <filterColumn colId="7" showButton="0"/>
    <filterColumn colId="8" showButton="0"/>
    <filterColumn colId="9" showButton="0"/>
  </autoFilter>
  <mergeCells count="18">
    <mergeCell ref="P1:P2"/>
    <mergeCell ref="O1:O2"/>
    <mergeCell ref="A15:A16"/>
    <mergeCell ref="A26:A27"/>
    <mergeCell ref="H1:K1"/>
    <mergeCell ref="A1:A2"/>
    <mergeCell ref="C1:C2"/>
    <mergeCell ref="D1:D2"/>
    <mergeCell ref="E1:G1"/>
    <mergeCell ref="B1:B2"/>
    <mergeCell ref="C151:G151"/>
    <mergeCell ref="C148:G148"/>
    <mergeCell ref="C149:G149"/>
    <mergeCell ref="C150:G150"/>
    <mergeCell ref="C140:H140"/>
    <mergeCell ref="C146:H146"/>
    <mergeCell ref="C144:H144"/>
    <mergeCell ref="C147:G147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  <headerFooter differentFirst="1">
    <oddFooter>Strona &amp;P z &amp;N</oddFooter>
  </headerFooter>
  <rowBreaks count="2" manualBreakCount="2">
    <brk id="40" max="18" man="1"/>
    <brk id="89" max="18" man="1"/>
  </rowBreaks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1"/>
  <sheetViews>
    <sheetView view="pageBreakPreview" topLeftCell="A4" zoomScale="93" zoomScaleNormal="100" zoomScaleSheetLayoutView="93" workbookViewId="0">
      <selection activeCell="V50" sqref="V50"/>
    </sheetView>
  </sheetViews>
  <sheetFormatPr defaultRowHeight="14.4"/>
  <cols>
    <col min="1" max="2" width="13.44140625" style="24" customWidth="1"/>
    <col min="3" max="3" width="10.6640625" style="24" customWidth="1"/>
    <col min="4" max="4" width="9.5546875" style="24" customWidth="1"/>
    <col min="5" max="5" width="11.21875" style="24" customWidth="1"/>
    <col min="6" max="6" width="8.6640625" style="24" customWidth="1"/>
    <col min="7" max="7" width="10" style="24" customWidth="1"/>
    <col min="8" max="8" width="9.5546875" style="24" customWidth="1"/>
  </cols>
  <sheetData>
    <row r="1" spans="1:13">
      <c r="A1" s="388" t="s">
        <v>199</v>
      </c>
      <c r="B1" s="388"/>
      <c r="C1" s="388"/>
      <c r="D1" s="388"/>
      <c r="E1" s="388"/>
      <c r="F1" s="388"/>
      <c r="G1" s="388"/>
      <c r="H1" s="388"/>
    </row>
    <row r="2" spans="1:13" ht="19.95" customHeight="1">
      <c r="A2" s="390" t="s">
        <v>200</v>
      </c>
      <c r="B2" s="389" t="s">
        <v>174</v>
      </c>
      <c r="C2" s="393" t="s">
        <v>28</v>
      </c>
      <c r="D2" s="393"/>
      <c r="E2" s="393"/>
      <c r="F2" s="393"/>
      <c r="G2" s="393"/>
      <c r="H2" s="393"/>
    </row>
    <row r="3" spans="1:13" ht="19.2" customHeight="1">
      <c r="A3" s="391"/>
      <c r="B3" s="389"/>
      <c r="C3" s="394" t="s">
        <v>1</v>
      </c>
      <c r="D3" s="395"/>
      <c r="E3" s="395"/>
      <c r="F3" s="395"/>
      <c r="G3" s="395"/>
      <c r="H3" s="396"/>
    </row>
    <row r="4" spans="1:13" ht="31.2" customHeight="1">
      <c r="A4" s="391"/>
      <c r="B4" s="389"/>
      <c r="C4" s="205" t="s">
        <v>7</v>
      </c>
      <c r="D4" s="200" t="s">
        <v>11</v>
      </c>
      <c r="E4" s="200" t="s">
        <v>10</v>
      </c>
      <c r="F4" s="205" t="s">
        <v>162</v>
      </c>
      <c r="G4" s="205" t="s">
        <v>16</v>
      </c>
      <c r="H4" s="200" t="s">
        <v>26</v>
      </c>
    </row>
    <row r="5" spans="1:13" ht="24" customHeight="1">
      <c r="A5" s="391"/>
      <c r="B5" s="389"/>
      <c r="C5" s="27">
        <f>C9*1816/1888</f>
        <v>61988.028448101264</v>
      </c>
      <c r="D5" s="27">
        <f>663300*'Wskaźniki emisji 2010r'!B22*'Wskaźniki emisji 2010r'!B9/1000</f>
        <v>6314.5735488</v>
      </c>
      <c r="E5" s="27">
        <f>E9*1816/1888</f>
        <v>0</v>
      </c>
      <c r="F5" s="27">
        <f>F9*1816/1888</f>
        <v>5065.9779645569615</v>
      </c>
      <c r="G5" s="27">
        <f>G9*1816/1888</f>
        <v>5417.4038481012667</v>
      </c>
      <c r="H5" s="27">
        <f>C5+D5+E5+G5+F5</f>
        <v>78785.983809559504</v>
      </c>
    </row>
    <row r="6" spans="1:13">
      <c r="A6" s="391"/>
      <c r="B6" s="390" t="s">
        <v>175</v>
      </c>
      <c r="C6" s="393" t="s">
        <v>28</v>
      </c>
      <c r="D6" s="393"/>
      <c r="E6" s="393"/>
      <c r="F6" s="393"/>
      <c r="G6" s="393"/>
      <c r="H6" s="393"/>
    </row>
    <row r="7" spans="1:13">
      <c r="A7" s="391"/>
      <c r="B7" s="391"/>
      <c r="C7" s="394" t="s">
        <v>1</v>
      </c>
      <c r="D7" s="395"/>
      <c r="E7" s="395"/>
      <c r="F7" s="395"/>
      <c r="G7" s="395"/>
      <c r="H7" s="396"/>
    </row>
    <row r="8" spans="1:13" ht="27.6">
      <c r="A8" s="391"/>
      <c r="B8" s="391"/>
      <c r="C8" s="205" t="s">
        <v>7</v>
      </c>
      <c r="D8" s="200" t="s">
        <v>11</v>
      </c>
      <c r="E8" s="200" t="s">
        <v>10</v>
      </c>
      <c r="F8" s="205" t="s">
        <v>162</v>
      </c>
      <c r="G8" s="205" t="s">
        <v>16</v>
      </c>
      <c r="H8" s="200" t="s">
        <v>26</v>
      </c>
    </row>
    <row r="9" spans="1:13">
      <c r="A9" s="391"/>
      <c r="B9" s="392"/>
      <c r="C9" s="27">
        <f>'Obiekty prywatne'!E143</f>
        <v>64445.70358481013</v>
      </c>
      <c r="D9" s="27">
        <f>'Obiekty prywatne'!F143</f>
        <v>6148.9266624000002</v>
      </c>
      <c r="E9" s="27">
        <v>0</v>
      </c>
      <c r="F9" s="27">
        <f>'Obiekty prywatne'!G143</f>
        <v>5266.8317164556956</v>
      </c>
      <c r="G9" s="27">
        <f>(SUM('Obiekty prywatne'!Q3:Q133)/1000)*1888/79</f>
        <v>5632.1907848101273</v>
      </c>
      <c r="H9" s="27">
        <f>C9+D9+E9+G9+F9</f>
        <v>81493.652748475943</v>
      </c>
    </row>
    <row r="10" spans="1:13" ht="23.4" customHeight="1">
      <c r="A10" s="391"/>
      <c r="B10" s="389" t="str">
        <f>B2</f>
        <v>2010 rok</v>
      </c>
      <c r="C10" s="397" t="s">
        <v>176</v>
      </c>
      <c r="D10" s="398"/>
      <c r="E10" s="398"/>
      <c r="F10" s="398"/>
      <c r="G10" s="398"/>
      <c r="H10" s="399"/>
    </row>
    <row r="11" spans="1:13" ht="17.399999999999999" customHeight="1">
      <c r="A11" s="391"/>
      <c r="B11" s="389"/>
      <c r="C11" s="397" t="s">
        <v>3</v>
      </c>
      <c r="D11" s="398"/>
      <c r="E11" s="398"/>
      <c r="F11" s="398"/>
      <c r="G11" s="398"/>
      <c r="H11" s="399"/>
    </row>
    <row r="12" spans="1:13" ht="27" customHeight="1">
      <c r="A12" s="391"/>
      <c r="B12" s="389"/>
      <c r="C12" s="146" t="str">
        <f>C4</f>
        <v>Węgiel kamienny</v>
      </c>
      <c r="D12" s="29" t="s">
        <v>11</v>
      </c>
      <c r="E12" s="29" t="str">
        <f t="shared" ref="E12:G12" si="0">E4</f>
        <v>Olej opałowy</v>
      </c>
      <c r="F12" s="146" t="str">
        <f t="shared" si="0"/>
        <v>Drewno opałowe</v>
      </c>
      <c r="G12" s="146" t="str">
        <f t="shared" si="0"/>
        <v>Energia elektryczna</v>
      </c>
      <c r="H12" s="29" t="s">
        <v>26</v>
      </c>
      <c r="J12" s="155"/>
      <c r="K12" s="155"/>
      <c r="L12" s="155"/>
      <c r="M12" s="155"/>
    </row>
    <row r="13" spans="1:13" ht="24.6" customHeight="1">
      <c r="A13" s="391"/>
      <c r="B13" s="389"/>
      <c r="C13" s="27">
        <f>C5*'Wskaźniki emisji 2010r'!D8</f>
        <v>25682.705178607594</v>
      </c>
      <c r="D13" s="27">
        <f>D5*'Wskaźniki emisji 2010r'!D9</f>
        <v>1552.7731079031541</v>
      </c>
      <c r="E13" s="27">
        <f>E5*'Wskaźniki emisji 2010r'!D10</f>
        <v>0</v>
      </c>
      <c r="F13" s="27">
        <f>F5*'Wskaźniki emisji 2010r'!D11</f>
        <v>0</v>
      </c>
      <c r="G13" s="27">
        <f>G5*'Wskaźniki emisji 2010r'!D15</f>
        <v>4398.931924658229</v>
      </c>
      <c r="H13" s="27">
        <f>SUM(C13:G13)</f>
        <v>31634.410211168979</v>
      </c>
      <c r="J13" s="155"/>
      <c r="K13" s="155"/>
      <c r="L13" s="155"/>
      <c r="M13" s="155"/>
    </row>
    <row r="14" spans="1:13">
      <c r="A14" s="391"/>
      <c r="B14" s="389" t="str">
        <f>B6</f>
        <v>2015 rok</v>
      </c>
      <c r="C14" s="397" t="s">
        <v>176</v>
      </c>
      <c r="D14" s="398"/>
      <c r="E14" s="398"/>
      <c r="F14" s="398"/>
      <c r="G14" s="398"/>
      <c r="H14" s="399"/>
      <c r="J14" s="155"/>
      <c r="K14" s="157"/>
      <c r="L14" s="155"/>
      <c r="M14" s="155"/>
    </row>
    <row r="15" spans="1:13">
      <c r="A15" s="391"/>
      <c r="B15" s="389"/>
      <c r="C15" s="397" t="s">
        <v>3</v>
      </c>
      <c r="D15" s="398"/>
      <c r="E15" s="398"/>
      <c r="F15" s="398"/>
      <c r="G15" s="398"/>
      <c r="H15" s="399"/>
      <c r="J15" s="155"/>
      <c r="K15" s="157"/>
      <c r="L15" s="155"/>
      <c r="M15" s="155"/>
    </row>
    <row r="16" spans="1:13" ht="27.6">
      <c r="A16" s="391"/>
      <c r="B16" s="389"/>
      <c r="C16" s="146" t="str">
        <f>C8</f>
        <v>Węgiel kamienny</v>
      </c>
      <c r="D16" s="29" t="str">
        <f t="shared" ref="D16:G16" si="1">D8</f>
        <v>Gaz ziemny</v>
      </c>
      <c r="E16" s="29" t="str">
        <f t="shared" si="1"/>
        <v>Olej opałowy</v>
      </c>
      <c r="F16" s="146" t="str">
        <f t="shared" si="1"/>
        <v>Drewno opałowe</v>
      </c>
      <c r="G16" s="146" t="str">
        <f t="shared" si="1"/>
        <v>Energia elektryczna</v>
      </c>
      <c r="H16" s="29" t="s">
        <v>26</v>
      </c>
      <c r="J16" s="155"/>
      <c r="K16" s="157"/>
      <c r="L16" s="155"/>
      <c r="M16" s="155"/>
    </row>
    <row r="17" spans="1:13">
      <c r="A17" s="392"/>
      <c r="B17" s="389"/>
      <c r="C17" s="27">
        <f>C9*'Wskaźniki emisji 2015r'!D8</f>
        <v>21860.354905518987</v>
      </c>
      <c r="D17" s="27">
        <f>D9*'Wskaźniki emisji 2015r'!D9</f>
        <v>1239.1086147839999</v>
      </c>
      <c r="E17" s="27">
        <f>E9*'Wskaźniki emisji 2015r'!D10</f>
        <v>0</v>
      </c>
      <c r="F17" s="27">
        <v>0</v>
      </c>
      <c r="G17" s="27">
        <f>G9*'Wskaźniki emisji 2015r'!D15</f>
        <v>4573.3389172658235</v>
      </c>
      <c r="H17" s="27">
        <f>SUM(C17:G17)</f>
        <v>27672.802437568811</v>
      </c>
      <c r="J17" s="155"/>
      <c r="K17" s="155"/>
      <c r="L17" s="155"/>
      <c r="M17" s="155"/>
    </row>
    <row r="18" spans="1:13">
      <c r="J18" s="155"/>
      <c r="K18" s="155"/>
      <c r="L18" s="155"/>
      <c r="M18" s="155"/>
    </row>
    <row r="19" spans="1:13">
      <c r="J19" s="155"/>
      <c r="K19" s="155"/>
      <c r="L19" s="155"/>
      <c r="M19" s="155"/>
    </row>
    <row r="20" spans="1:13">
      <c r="J20" s="155"/>
      <c r="K20" s="155"/>
      <c r="L20" s="155"/>
      <c r="M20" s="155"/>
    </row>
    <row r="21" spans="1:13">
      <c r="J21" s="155"/>
      <c r="K21" s="155"/>
      <c r="L21" s="155"/>
      <c r="M21" s="155"/>
    </row>
  </sheetData>
  <mergeCells count="14">
    <mergeCell ref="C11:H11"/>
    <mergeCell ref="B14:B17"/>
    <mergeCell ref="C14:H14"/>
    <mergeCell ref="C15:H15"/>
    <mergeCell ref="A1:H1"/>
    <mergeCell ref="A2:A17"/>
    <mergeCell ref="B2:B5"/>
    <mergeCell ref="C2:H2"/>
    <mergeCell ref="C3:H3"/>
    <mergeCell ref="B6:B9"/>
    <mergeCell ref="C6:H6"/>
    <mergeCell ref="C7:H7"/>
    <mergeCell ref="B10:B13"/>
    <mergeCell ref="C10:H10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19" max="16" man="1"/>
  </row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view="pageBreakPreview" zoomScale="93" zoomScaleNormal="100" zoomScaleSheetLayoutView="93" workbookViewId="0">
      <selection activeCell="D19" sqref="D19"/>
    </sheetView>
  </sheetViews>
  <sheetFormatPr defaultRowHeight="14.4"/>
  <cols>
    <col min="1" max="1" width="3.6640625" style="25" customWidth="1"/>
    <col min="2" max="2" width="27.6640625" style="141" customWidth="1"/>
    <col min="3" max="3" width="21.33203125" style="57" customWidth="1"/>
    <col min="4" max="4" width="12.6640625" style="57" customWidth="1"/>
    <col min="5" max="5" width="10.44140625" style="57" customWidth="1"/>
    <col min="6" max="6" width="16" style="57" customWidth="1"/>
    <col min="7" max="7" width="13.109375" style="57" customWidth="1"/>
    <col min="8" max="8" width="13.6640625" style="57" customWidth="1"/>
    <col min="9" max="9" width="11.109375" style="57" customWidth="1"/>
  </cols>
  <sheetData>
    <row r="1" spans="1:10" ht="28.2" customHeight="1">
      <c r="A1" s="393" t="s">
        <v>21</v>
      </c>
      <c r="B1" s="389" t="s">
        <v>36</v>
      </c>
      <c r="C1" s="389" t="s">
        <v>107</v>
      </c>
      <c r="D1" s="389" t="s">
        <v>83</v>
      </c>
      <c r="E1" s="393" t="s">
        <v>20</v>
      </c>
      <c r="F1" s="122" t="s">
        <v>14</v>
      </c>
      <c r="G1" s="122" t="s">
        <v>28</v>
      </c>
      <c r="H1" s="122" t="s">
        <v>100</v>
      </c>
      <c r="I1" s="122" t="s">
        <v>35</v>
      </c>
    </row>
    <row r="2" spans="1:10">
      <c r="A2" s="393"/>
      <c r="B2" s="389"/>
      <c r="C2" s="389"/>
      <c r="D2" s="389"/>
      <c r="E2" s="393"/>
      <c r="F2" s="65" t="s">
        <v>5</v>
      </c>
      <c r="G2" s="65" t="s">
        <v>1</v>
      </c>
      <c r="H2" s="65" t="s">
        <v>2</v>
      </c>
      <c r="I2" s="65" t="s">
        <v>3</v>
      </c>
    </row>
    <row r="3" spans="1:10" ht="45.6" customHeight="1">
      <c r="A3" s="201">
        <v>1</v>
      </c>
      <c r="B3" s="204" t="s">
        <v>317</v>
      </c>
      <c r="C3" s="67" t="s">
        <v>114</v>
      </c>
      <c r="D3" s="40">
        <f>3274*'Wskaźniki emisji 2010r'!B22/1000</f>
        <v>2.3441839999999998</v>
      </c>
      <c r="E3" s="201" t="s">
        <v>3</v>
      </c>
      <c r="F3" s="40">
        <f>IF(C3="węgiel kamienny",'Wskaźniki emisji 2010r'!$B$8,IF(C3="gaz ziemny",'Wskaźniki emisji 2010r'!$B$9,IF(C3="olej opałowy",'Wskaźniki emisji 2010r'!$B$10,IF(C3="drewno opałowe",'Wskaźniki emisji 2010r'!$B$11,IF(C3="LPG",'Wskaźniki emisji 2010r'!$B$14,IF(C3="energia elektryczna",'Wskaźniki emisji 2010r'!$B$15,IF(C3="benzyna",'Wskaźniki emisji 2010r'!$B$13,IF(C3="olej napędowy",'Wskaźniki emisji 2010r'!$B$12,IF(C3="gaz płynny",'Wskaźniki emisji 2010r'!$B$14,)))))))))</f>
        <v>13.296000000000001</v>
      </c>
      <c r="G3" s="40">
        <f>D3*F3</f>
        <v>31.168270463999999</v>
      </c>
      <c r="H3" s="67">
        <f>IF(C3="węgiel kamienny",'Wskaźniki emisji 2010r'!$D$8,IF(C3="gaz ziemny",'Wskaźniki emisji 2010r'!$D$9,IF(C3="olej opałowy",'Wskaźniki emisji 2010r'!$D$10,IF(C3="drewno opałowe",'Wskaźniki emisji 2010r'!$D$11,IF(C3="LPG",'Wskaźniki emisji 2010r'!$D$14,IF(C3="energia elektryczna",'Wskaźniki emisji 2010r'!$D$15,IF(C3="benzyna",'Wskaźniki emisji 2010r'!$D$13,IF(C3="olej napędowy",'Wskaźniki emisji 2010r'!$D$12,IF(C3="gaz płynny",'Wskaźniki emisji 2010r'!$D$14)))))))))</f>
        <v>0.24590308370044053</v>
      </c>
      <c r="I3" s="66">
        <f>G3*H3</f>
        <v>7.6643738207069605</v>
      </c>
    </row>
    <row r="4" spans="1:10" ht="48.6" customHeight="1">
      <c r="A4" s="201">
        <v>2</v>
      </c>
      <c r="B4" s="202" t="s">
        <v>318</v>
      </c>
      <c r="C4" s="67" t="s">
        <v>115</v>
      </c>
      <c r="D4" s="40">
        <v>28</v>
      </c>
      <c r="E4" s="301" t="s">
        <v>3</v>
      </c>
      <c r="F4" s="40">
        <f>IF(C4="węgiel kamienny",'Wskaźniki emisji 2010r'!$B$8,IF(C4="gaz ziemny",'Wskaźniki emisji 2010r'!$B$9,IF(C4="olej opałowy",'Wskaźniki emisji 2010r'!$B$10,IF(C4="drewno opałowe",'Wskaźniki emisji 2010r'!$B$11,IF(C4="LPG",'Wskaźniki emisji 2010r'!$B$14,IF(C4="energia elektryczna",'Wskaźniki emisji 2010r'!$B$15,IF(C4="benzyna",'Wskaźniki emisji 2010r'!$B$13,IF(C4="olej napędowy",'Wskaźniki emisji 2010r'!$B$12,IF(C4="gaz płynny",'Wskaźniki emisji 2010r'!$B$14,)))))))))</f>
        <v>6.9693200000000006</v>
      </c>
      <c r="G4" s="40">
        <f t="shared" ref="G4:G19" si="0">D4*F4</f>
        <v>195.14096000000001</v>
      </c>
      <c r="H4" s="301">
        <f>IF(C4="węgiel kamienny",'Wskaźniki emisji 2010r'!$D$8,IF(C4="gaz ziemny",'Wskaźniki emisji 2010r'!$D$9,IF(C4="olej opałowy",'Wskaźniki emisji 2010r'!$D$10,IF(C4="drewno opałowe",'Wskaźniki emisji 2010r'!$D$11,IF(C4="LPG",'Wskaźniki emisji 2010r'!$D$14,IF(C4="energia elektryczna",'Wskaźniki emisji 2010r'!$D$15,IF(C4="benzyna",'Wskaźniki emisji 2010r'!$D$13,IF(C4="olej napędowy",'Wskaźniki emisji 2010r'!$D$12,IF(C4="gaz płynny",'Wskaźniki emisji 2010r'!$D$14)))))))))</f>
        <v>0.41431718061674006</v>
      </c>
      <c r="I4" s="66">
        <f t="shared" ref="I4:I19" si="1">G4*H4</f>
        <v>80.850252370044046</v>
      </c>
      <c r="J4" t="s">
        <v>319</v>
      </c>
    </row>
    <row r="5" spans="1:10" ht="47.4" customHeight="1">
      <c r="A5" s="135">
        <v>3</v>
      </c>
      <c r="B5" s="139" t="s">
        <v>320</v>
      </c>
      <c r="C5" s="67" t="s">
        <v>115</v>
      </c>
      <c r="D5" s="40">
        <v>11</v>
      </c>
      <c r="E5" s="301" t="s">
        <v>3</v>
      </c>
      <c r="F5" s="40">
        <f>IF(C5="węgiel kamienny",'Wskaźniki emisji 2010r'!$B$8,IF(C5="gaz ziemny",'Wskaźniki emisji 2010r'!$B$9,IF(C5="olej opałowy",'Wskaźniki emisji 2010r'!$B$10,IF(C5="drewno opałowe",'Wskaźniki emisji 2010r'!$B$11,IF(C5="LPG",'Wskaźniki emisji 2010r'!$B$14,IF(C5="energia elektryczna",'Wskaźniki emisji 2010r'!$B$15,IF(C5="benzyna",'Wskaźniki emisji 2010r'!$B$13,IF(C5="olej napędowy",'Wskaźniki emisji 2010r'!$B$12,IF(C5="gaz płynny",'Wskaźniki emisji 2010r'!$B$14,)))))))))</f>
        <v>6.9693200000000006</v>
      </c>
      <c r="G5" s="40">
        <f t="shared" si="0"/>
        <v>76.662520000000001</v>
      </c>
      <c r="H5" s="301">
        <f>IF(C5="węgiel kamienny",'Wskaźniki emisji 2010r'!$D$8,IF(C5="gaz ziemny",'Wskaźniki emisji 2010r'!$D$9,IF(C5="olej opałowy",'Wskaźniki emisji 2010r'!$D$10,IF(C5="drewno opałowe",'Wskaźniki emisji 2010r'!$D$11,IF(C5="LPG",'Wskaźniki emisji 2010r'!$D$14,IF(C5="energia elektryczna",'Wskaźniki emisji 2010r'!$D$15,IF(C5="benzyna",'Wskaźniki emisji 2010r'!$D$13,IF(C5="olej napędowy",'Wskaźniki emisji 2010r'!$D$12,IF(C5="gaz płynny",'Wskaźniki emisji 2010r'!$D$14)))))))))</f>
        <v>0.41431718061674006</v>
      </c>
      <c r="I5" s="66">
        <f t="shared" si="1"/>
        <v>31.762599145374448</v>
      </c>
    </row>
    <row r="6" spans="1:10" ht="47.4" customHeight="1">
      <c r="A6" s="301"/>
      <c r="B6" s="204"/>
      <c r="C6" s="301" t="s">
        <v>116</v>
      </c>
      <c r="D6" s="40">
        <v>1.02</v>
      </c>
      <c r="E6" s="301" t="s">
        <v>3</v>
      </c>
      <c r="F6" s="40">
        <f>IF(C6="węgiel kamienny",'Wskaźniki emisji 2010r'!$B$8,IF(C6="gaz ziemny",'Wskaźniki emisji 2010r'!$B$9,IF(C6="olej opałowy",'Wskaźniki emisji 2010r'!$B$10,IF(C6="drewno opałowe",'Wskaźniki emisji 2010r'!$B$11,IF(C6="LPG",'Wskaźniki emisji 2010r'!$B$14,IF(C6="energia elektryczna",'Wskaźniki emisji 2010r'!$B$15,IF(C6="benzyna",'Wskaźniki emisji 2010r'!$B$13,IF(C6="olej napędowy",'Wskaźniki emisji 2010r'!$B$12,IF(C6="gaz płynny",'Wskaźniki emisji 2010r'!$B$14,)))))))))</f>
        <v>11.132630000000001</v>
      </c>
      <c r="G6" s="40">
        <f t="shared" si="0"/>
        <v>11.355282600000001</v>
      </c>
      <c r="H6" s="301">
        <f>IF(C6="węgiel kamienny",'Wskaźniki emisji 2010r'!$D$8,IF(C6="gaz ziemny",'Wskaźniki emisji 2010r'!$D$9,IF(C6="olej opałowy",'Wskaźniki emisji 2010r'!$D$10,IF(C6="drewno opałowe",'Wskaźniki emisji 2010r'!$D$11,IF(C6="LPG",'Wskaźniki emisji 2010r'!$D$14,IF(C6="energia elektryczna",'Wskaźniki emisji 2010r'!$D$15,IF(C6="benzyna",'Wskaźniki emisji 2010r'!$D$13,IF(C6="olej napędowy",'Wskaźniki emisji 2010r'!$D$12,IF(C6="gaz płynny",'Wskaźniki emisji 2010r'!$D$14)))))))))</f>
        <v>0.33740088105726873</v>
      </c>
      <c r="I6" s="66">
        <f t="shared" si="1"/>
        <v>3.8312823538942733</v>
      </c>
    </row>
    <row r="7" spans="1:10" ht="42.6" customHeight="1">
      <c r="A7" s="135">
        <v>4</v>
      </c>
      <c r="B7" s="139" t="s">
        <v>321</v>
      </c>
      <c r="C7" s="67" t="s">
        <v>116</v>
      </c>
      <c r="D7" s="40">
        <v>3.5</v>
      </c>
      <c r="E7" s="301" t="s">
        <v>3</v>
      </c>
      <c r="F7" s="40">
        <f>IF(C7="węgiel kamienny",'Wskaźniki emisji 2010r'!$B$8,IF(C7="gaz ziemny",'Wskaźniki emisji 2010r'!$B$9,IF(C7="olej opałowy",'Wskaźniki emisji 2010r'!$B$10,IF(C7="drewno opałowe",'Wskaźniki emisji 2010r'!$B$11,IF(C7="LPG",'Wskaźniki emisji 2010r'!$B$14,IF(C7="energia elektryczna",'Wskaźniki emisji 2010r'!$B$15,IF(C7="benzyna",'Wskaźniki emisji 2010r'!$B$13,IF(C7="olej napędowy",'Wskaźniki emisji 2010r'!$B$12,IF(C7="gaz płynny",'Wskaźniki emisji 2010r'!$B$14,)))))))))</f>
        <v>11.132630000000001</v>
      </c>
      <c r="G7" s="40">
        <f t="shared" si="0"/>
        <v>38.964205</v>
      </c>
      <c r="H7" s="301">
        <f>IF(C7="węgiel kamienny",'Wskaźniki emisji 2010r'!$D$8,IF(C7="gaz ziemny",'Wskaźniki emisji 2010r'!$D$9,IF(C7="olej opałowy",'Wskaźniki emisji 2010r'!$D$10,IF(C7="drewno opałowe",'Wskaźniki emisji 2010r'!$D$11,IF(C7="LPG",'Wskaźniki emisji 2010r'!$D$14,IF(C7="energia elektryczna",'Wskaźniki emisji 2010r'!$D$15,IF(C7="benzyna",'Wskaźniki emisji 2010r'!$D$13,IF(C7="olej napędowy",'Wskaźniki emisji 2010r'!$D$12,IF(C7="gaz płynny",'Wskaźniki emisji 2010r'!$D$14)))))))))</f>
        <v>0.33740088105726873</v>
      </c>
      <c r="I7" s="66">
        <f t="shared" si="1"/>
        <v>13.146557096696036</v>
      </c>
    </row>
    <row r="8" spans="1:10" ht="42.6" customHeight="1">
      <c r="A8" s="301"/>
      <c r="B8" s="204"/>
      <c r="C8" s="301" t="s">
        <v>114</v>
      </c>
      <c r="D8" s="40">
        <f>0.053*1000000*'Wskaźniki emisji 2010r'!B22/1000</f>
        <v>37.948</v>
      </c>
      <c r="E8" s="301" t="s">
        <v>3</v>
      </c>
      <c r="F8" s="40">
        <f>IF(C8="węgiel kamienny",'Wskaźniki emisji 2010r'!$B$8,IF(C8="gaz ziemny",'Wskaźniki emisji 2010r'!$B$9,IF(C8="olej opałowy",'Wskaźniki emisji 2010r'!$B$10,IF(C8="drewno opałowe",'Wskaźniki emisji 2010r'!$B$11,IF(C8="LPG",'Wskaźniki emisji 2010r'!$B$14,IF(C8="energia elektryczna",'Wskaźniki emisji 2010r'!$B$15,IF(C8="benzyna",'Wskaźniki emisji 2010r'!$B$13,IF(C8="olej napędowy",'Wskaźniki emisji 2010r'!$B$12,IF(C8="gaz płynny",'Wskaźniki emisji 2010r'!$B$14,)))))))))</f>
        <v>13.296000000000001</v>
      </c>
      <c r="G8" s="40">
        <f t="shared" si="0"/>
        <v>504.55660800000004</v>
      </c>
      <c r="H8" s="301">
        <f>IF(C8="węgiel kamienny",'Wskaźniki emisji 2010r'!$D$8,IF(C8="gaz ziemny",'Wskaźniki emisji 2010r'!$D$9,IF(C8="olej opałowy",'Wskaźniki emisji 2010r'!$D$10,IF(C8="drewno opałowe",'Wskaźniki emisji 2010r'!$D$11,IF(C8="LPG",'Wskaźniki emisji 2010r'!$D$14,IF(C8="energia elektryczna",'Wskaźniki emisji 2010r'!$D$15,IF(C8="benzyna",'Wskaźniki emisji 2010r'!$D$13,IF(C8="olej napędowy",'Wskaźniki emisji 2010r'!$D$12,IF(C8="gaz płynny",'Wskaźniki emisji 2010r'!$D$14)))))))))</f>
        <v>0.24590308370044053</v>
      </c>
      <c r="I8" s="66">
        <f t="shared" si="1"/>
        <v>124.07202580863438</v>
      </c>
    </row>
    <row r="9" spans="1:10" ht="42.6" customHeight="1">
      <c r="A9" s="301">
        <v>5</v>
      </c>
      <c r="B9" s="335" t="s">
        <v>330</v>
      </c>
      <c r="C9" s="301" t="s">
        <v>115</v>
      </c>
      <c r="D9" s="40">
        <v>2</v>
      </c>
      <c r="E9" s="301" t="s">
        <v>3</v>
      </c>
      <c r="F9" s="40">
        <f>IF(C9="węgiel kamienny",'Wskaźniki emisji 2010r'!$B$8,IF(C9="gaz ziemny",'Wskaźniki emisji 2010r'!$B$9,IF(C9="olej opałowy",'Wskaźniki emisji 2010r'!$B$10,IF(C9="drewno opałowe",'Wskaźniki emisji 2010r'!$B$11,IF(C9="LPG",'Wskaźniki emisji 2010r'!$B$14,IF(C9="energia elektryczna",'Wskaźniki emisji 2010r'!$B$15,IF(C9="benzyna",'Wskaźniki emisji 2010r'!$B$13,IF(C9="olej napędowy",'Wskaźniki emisji 2010r'!$B$12,IF(C9="gaz płynny",'Wskaźniki emisji 2010r'!$B$14,)))))))))</f>
        <v>6.9693200000000006</v>
      </c>
      <c r="G9" s="40">
        <f t="shared" si="0"/>
        <v>13.938640000000001</v>
      </c>
      <c r="H9" s="301">
        <f>IF(C9="węgiel kamienny",'Wskaźniki emisji 2010r'!$D$8,IF(C9="gaz ziemny",'Wskaźniki emisji 2010r'!$D$9,IF(C9="olej opałowy",'Wskaźniki emisji 2010r'!$D$10,IF(C9="drewno opałowe",'Wskaźniki emisji 2010r'!$D$11,IF(C9="LPG",'Wskaźniki emisji 2010r'!$D$14,IF(C9="energia elektryczna",'Wskaźniki emisji 2010r'!$D$15,IF(C9="benzyna",'Wskaźniki emisji 2010r'!$D$13,IF(C9="olej napędowy",'Wskaźniki emisji 2010r'!$D$12,IF(C9="gaz płynny",'Wskaźniki emisji 2010r'!$D$14)))))))))</f>
        <v>0.41431718061674006</v>
      </c>
      <c r="I9" s="66">
        <f t="shared" si="1"/>
        <v>5.7750180264317184</v>
      </c>
    </row>
    <row r="10" spans="1:10" ht="44.4" customHeight="1">
      <c r="A10" s="135">
        <v>6</v>
      </c>
      <c r="B10" s="139" t="s">
        <v>324</v>
      </c>
      <c r="C10" s="67" t="s">
        <v>114</v>
      </c>
      <c r="D10" s="40">
        <f>0.001403*1000000*'Wskaźniki emisji 2010r'!B22/1000</f>
        <v>1.004548</v>
      </c>
      <c r="E10" s="301" t="s">
        <v>3</v>
      </c>
      <c r="F10" s="40">
        <f>IF(C10="węgiel kamienny",'Wskaźniki emisji 2010r'!$B$8,IF(C10="gaz ziemny",'Wskaźniki emisji 2010r'!$B$9,IF(C10="olej opałowy",'Wskaźniki emisji 2010r'!$B$10,IF(C10="drewno opałowe",'Wskaźniki emisji 2010r'!$B$11,IF(C10="LPG",'Wskaźniki emisji 2010r'!$B$14,IF(C10="energia elektryczna",'Wskaźniki emisji 2010r'!$B$15,IF(C10="benzyna",'Wskaźniki emisji 2010r'!$B$13,IF(C10="olej napędowy",'Wskaźniki emisji 2010r'!$B$12,IF(C10="gaz płynny",'Wskaźniki emisji 2010r'!$B$14,)))))))))</f>
        <v>13.296000000000001</v>
      </c>
      <c r="G10" s="40">
        <f t="shared" si="0"/>
        <v>13.356470208000001</v>
      </c>
      <c r="H10" s="301">
        <f>IF(C10="węgiel kamienny",'Wskaźniki emisji 2010r'!$D$8,IF(C10="gaz ziemny",'Wskaźniki emisji 2010r'!$D$9,IF(C10="olej opałowy",'Wskaźniki emisji 2010r'!$D$10,IF(C10="drewno opałowe",'Wskaźniki emisji 2010r'!$D$11,IF(C10="LPG",'Wskaźniki emisji 2010r'!$D$14,IF(C10="energia elektryczna",'Wskaźniki emisji 2010r'!$D$15,IF(C10="benzyna",'Wskaźniki emisji 2010r'!$D$13,IF(C10="olej napędowy",'Wskaźniki emisji 2010r'!$D$12,IF(C10="gaz płynny",'Wskaźniki emisji 2010r'!$D$14)))))))))</f>
        <v>0.24590308370044053</v>
      </c>
      <c r="I10" s="66">
        <f t="shared" si="1"/>
        <v>3.2843972115002646</v>
      </c>
    </row>
    <row r="11" spans="1:10" ht="66.599999999999994" customHeight="1">
      <c r="A11" s="135">
        <v>7</v>
      </c>
      <c r="B11" s="139" t="s">
        <v>322</v>
      </c>
      <c r="C11" s="67" t="s">
        <v>115</v>
      </c>
      <c r="D11" s="40">
        <v>97.3</v>
      </c>
      <c r="E11" s="301" t="s">
        <v>3</v>
      </c>
      <c r="F11" s="40">
        <f>IF(C11="węgiel kamienny",'Wskaźniki emisji 2010r'!$B$8,IF(C11="gaz ziemny",'Wskaźniki emisji 2010r'!$B$9,IF(C11="olej opałowy",'Wskaźniki emisji 2010r'!$B$10,IF(C11="drewno opałowe",'Wskaźniki emisji 2010r'!$B$11,IF(C11="LPG",'Wskaźniki emisji 2010r'!$B$14,IF(C11="energia elektryczna",'Wskaźniki emisji 2010r'!$B$15,IF(C11="benzyna",'Wskaźniki emisji 2010r'!$B$13,IF(C11="olej napędowy",'Wskaźniki emisji 2010r'!$B$12,IF(C11="gaz płynny",'Wskaźniki emisji 2010r'!$B$14,)))))))))</f>
        <v>6.9693200000000006</v>
      </c>
      <c r="G11" s="40">
        <f t="shared" si="0"/>
        <v>678.11483600000008</v>
      </c>
      <c r="H11" s="301">
        <f>IF(C11="węgiel kamienny",'Wskaźniki emisji 2010r'!$D$8,IF(C11="gaz ziemny",'Wskaźniki emisji 2010r'!$D$9,IF(C11="olej opałowy",'Wskaźniki emisji 2010r'!$D$10,IF(C11="drewno opałowe",'Wskaźniki emisji 2010r'!$D$11,IF(C11="LPG",'Wskaźniki emisji 2010r'!$D$14,IF(C11="energia elektryczna",'Wskaźniki emisji 2010r'!$D$15,IF(C11="benzyna",'Wskaźniki emisji 2010r'!$D$13,IF(C11="olej napędowy",'Wskaźniki emisji 2010r'!$D$12,IF(C11="gaz płynny",'Wskaźniki emisji 2010r'!$D$14)))))))))</f>
        <v>0.41431718061674006</v>
      </c>
      <c r="I11" s="66">
        <f t="shared" si="1"/>
        <v>280.95462698590308</v>
      </c>
    </row>
    <row r="12" spans="1:10" ht="66.599999999999994" customHeight="1">
      <c r="A12" s="301"/>
      <c r="B12" s="204"/>
      <c r="C12" s="301" t="s">
        <v>163</v>
      </c>
      <c r="D12" s="40">
        <v>21</v>
      </c>
      <c r="E12" s="301" t="s">
        <v>3</v>
      </c>
      <c r="F12" s="40">
        <f>IF(C12="węgiel kamienny",'Wskaźniki emisji 2010r'!$B$8,IF(C12="gaz ziemny",'Wskaźniki emisji 2010r'!$B$9,IF(C12="olej opałowy",'Wskaźniki emisji 2010r'!$B$10,IF(C12="drewno opałowe",'Wskaźniki emisji 2010r'!$B$11,IF(C12="LPG",'Wskaźniki emisji 2010r'!$B$14,IF(C12="energia elektryczna",'Wskaźniki emisji 2010r'!$B$15,IF(C12="benzyna",'Wskaźniki emisji 2010r'!$B$13,IF(C12="olej napędowy",'Wskaźniki emisji 2010r'!$B$12,IF(C12="gaz płynny",'Wskaźniki emisji 2010r'!$B$14,)))))))))</f>
        <v>4.3212000000000002</v>
      </c>
      <c r="G12" s="40">
        <f t="shared" si="0"/>
        <v>90.745199999999997</v>
      </c>
      <c r="H12" s="301">
        <f>IF(C12="węgiel kamienny",'Wskaźniki emisji 2010r'!$D$8,IF(C12="gaz ziemny",'Wskaźniki emisji 2010r'!$D$9,IF(C12="olej opałowy",'Wskaźniki emisji 2010r'!$D$10,IF(C12="drewno opałowe",'Wskaźniki emisji 2010r'!$D$11,IF(C12="LPG",'Wskaźniki emisji 2010r'!$D$14,IF(C12="energia elektryczna",'Wskaźniki emisji 2010r'!$D$15,IF(C12="benzyna",'Wskaźniki emisji 2010r'!$D$13,IF(C12="olej napędowy",'Wskaźniki emisji 2010r'!$D$12,IF(C12="gaz płynny",'Wskaźniki emisji 2010r'!$D$14)))))))))</f>
        <v>0</v>
      </c>
      <c r="I12" s="66">
        <f t="shared" si="1"/>
        <v>0</v>
      </c>
    </row>
    <row r="13" spans="1:10" ht="66.599999999999994" customHeight="1">
      <c r="A13" s="301"/>
      <c r="B13" s="204"/>
      <c r="C13" s="301" t="s">
        <v>116</v>
      </c>
      <c r="D13" s="40">
        <v>41.29</v>
      </c>
      <c r="E13" s="301" t="s">
        <v>3</v>
      </c>
      <c r="F13" s="40">
        <f>IF(C13="węgiel kamienny",'Wskaźniki emisji 2010r'!$B$8,IF(C13="gaz ziemny",'Wskaźniki emisji 2010r'!$B$9,IF(C13="olej opałowy",'Wskaźniki emisji 2010r'!$B$10,IF(C13="drewno opałowe",'Wskaźniki emisji 2010r'!$B$11,IF(C13="LPG",'Wskaźniki emisji 2010r'!$B$14,IF(C13="energia elektryczna",'Wskaźniki emisji 2010r'!$B$15,IF(C13="benzyna",'Wskaźniki emisji 2010r'!$B$13,IF(C13="olej napędowy",'Wskaźniki emisji 2010r'!$B$12,IF(C13="gaz płynny",'Wskaźniki emisji 2010r'!$B$14,)))))))))</f>
        <v>11.132630000000001</v>
      </c>
      <c r="G13" s="40">
        <f t="shared" si="0"/>
        <v>459.66629270000004</v>
      </c>
      <c r="H13" s="301">
        <f>IF(C13="węgiel kamienny",'Wskaźniki emisji 2010r'!$D$8,IF(C13="gaz ziemny",'Wskaźniki emisji 2010r'!$D$9,IF(C13="olej opałowy",'Wskaźniki emisji 2010r'!$D$10,IF(C13="drewno opałowe",'Wskaźniki emisji 2010r'!$D$11,IF(C13="LPG",'Wskaźniki emisji 2010r'!$D$14,IF(C13="energia elektryczna",'Wskaźniki emisji 2010r'!$D$15,IF(C13="benzyna",'Wskaźniki emisji 2010r'!$D$13,IF(C13="olej napędowy",'Wskaźniki emisji 2010r'!$D$12,IF(C13="gaz płynny",'Wskaźniki emisji 2010r'!$D$14)))))))))</f>
        <v>0.33740088105726873</v>
      </c>
      <c r="I13" s="66">
        <f t="shared" si="1"/>
        <v>155.0918121493084</v>
      </c>
    </row>
    <row r="14" spans="1:10" ht="24" customHeight="1">
      <c r="A14" s="135">
        <v>8</v>
      </c>
      <c r="B14" s="139" t="s">
        <v>323</v>
      </c>
      <c r="C14" s="67" t="s">
        <v>114</v>
      </c>
      <c r="D14" s="40">
        <f>0.00761*1000000*'Wskaźniki emisji 2010r'!B22/1000</f>
        <v>5.44876</v>
      </c>
      <c r="E14" s="301" t="s">
        <v>3</v>
      </c>
      <c r="F14" s="40">
        <f>IF(C14="węgiel kamienny",'Wskaźniki emisji 2010r'!$B$8,IF(C14="gaz ziemny",'Wskaźniki emisji 2010r'!$B$9,IF(C14="olej opałowy",'Wskaźniki emisji 2010r'!$B$10,IF(C14="drewno opałowe",'Wskaźniki emisji 2010r'!$B$11,IF(C14="LPG",'Wskaźniki emisji 2010r'!$B$14,IF(C14="energia elektryczna",'Wskaźniki emisji 2010r'!$B$15,IF(C14="benzyna",'Wskaźniki emisji 2010r'!$B$13,IF(C14="olej napędowy",'Wskaźniki emisji 2010r'!$B$12,IF(C14="gaz płynny",'Wskaźniki emisji 2010r'!$B$14,)))))))))</f>
        <v>13.296000000000001</v>
      </c>
      <c r="G14" s="40">
        <f t="shared" si="0"/>
        <v>72.446712960000013</v>
      </c>
      <c r="H14" s="301">
        <f>IF(C14="węgiel kamienny",'Wskaźniki emisji 2010r'!$D$8,IF(C14="gaz ziemny",'Wskaźniki emisji 2010r'!$D$9,IF(C14="olej opałowy",'Wskaźniki emisji 2010r'!$D$10,IF(C14="drewno opałowe",'Wskaźniki emisji 2010r'!$D$11,IF(C14="LPG",'Wskaźniki emisji 2010r'!$D$14,IF(C14="energia elektryczna",'Wskaźniki emisji 2010r'!$D$15,IF(C14="benzyna",'Wskaźniki emisji 2010r'!$D$13,IF(C14="olej napędowy",'Wskaźniki emisji 2010r'!$D$12,IF(C14="gaz płynny",'Wskaźniki emisji 2010r'!$D$14)))))))))</f>
        <v>0.24590308370044053</v>
      </c>
      <c r="I14" s="66">
        <f t="shared" si="1"/>
        <v>17.814870120824672</v>
      </c>
    </row>
    <row r="15" spans="1:10" ht="42.6" customHeight="1">
      <c r="A15" s="135">
        <v>9</v>
      </c>
      <c r="B15" s="139" t="s">
        <v>325</v>
      </c>
      <c r="C15" s="67" t="s">
        <v>114</v>
      </c>
      <c r="D15" s="40">
        <f>0.008994*1000000*'Wskaźniki emisji 2010r'!$B$22/1000</f>
        <v>6.4397039999999999</v>
      </c>
      <c r="E15" s="301" t="s">
        <v>3</v>
      </c>
      <c r="F15" s="40">
        <f>IF(C15="węgiel kamienny",'Wskaźniki emisji 2010r'!$B$8,IF(C15="gaz ziemny",'Wskaźniki emisji 2010r'!$B$9,IF(C15="olej opałowy",'Wskaźniki emisji 2010r'!$B$10,IF(C15="drewno opałowe",'Wskaźniki emisji 2010r'!$B$11,IF(C15="LPG",'Wskaźniki emisji 2010r'!$B$14,IF(C15="energia elektryczna",'Wskaźniki emisji 2010r'!$B$15,IF(C15="benzyna",'Wskaźniki emisji 2010r'!$B$13,IF(C15="olej napędowy",'Wskaźniki emisji 2010r'!$B$12,IF(C15="gaz płynny",'Wskaźniki emisji 2010r'!$B$14,)))))))))</f>
        <v>13.296000000000001</v>
      </c>
      <c r="G15" s="40">
        <f t="shared" si="0"/>
        <v>85.622304384000003</v>
      </c>
      <c r="H15" s="301">
        <f>IF(C15="węgiel kamienny",'Wskaźniki emisji 2010r'!$D$8,IF(C15="gaz ziemny",'Wskaźniki emisji 2010r'!$D$9,IF(C15="olej opałowy",'Wskaźniki emisji 2010r'!$D$10,IF(C15="drewno opałowe",'Wskaźniki emisji 2010r'!$D$11,IF(C15="LPG",'Wskaźniki emisji 2010r'!$D$14,IF(C15="energia elektryczna",'Wskaźniki emisji 2010r'!$D$15,IF(C15="benzyna",'Wskaźniki emisji 2010r'!$D$13,IF(C15="olej napędowy",'Wskaźniki emisji 2010r'!$D$12,IF(C15="gaz płynny",'Wskaźniki emisji 2010r'!$D$14)))))))))</f>
        <v>0.24590308370044053</v>
      </c>
      <c r="I15" s="66">
        <f t="shared" si="1"/>
        <v>21.054788681563348</v>
      </c>
    </row>
    <row r="16" spans="1:10" ht="31.2" customHeight="1">
      <c r="A16" s="201">
        <v>10</v>
      </c>
      <c r="B16" s="204" t="s">
        <v>326</v>
      </c>
      <c r="C16" s="67" t="s">
        <v>114</v>
      </c>
      <c r="D16" s="40">
        <f>0.00328*1000000*'Wskaźniki emisji 2010r'!$B$22/1000</f>
        <v>2.3484799999999999</v>
      </c>
      <c r="E16" s="301" t="s">
        <v>3</v>
      </c>
      <c r="F16" s="40">
        <f>IF(C16="węgiel kamienny",'Wskaźniki emisji 2010r'!$B$8,IF(C16="gaz ziemny",'Wskaźniki emisji 2010r'!$B$9,IF(C16="olej opałowy",'Wskaźniki emisji 2010r'!$B$10,IF(C16="drewno opałowe",'Wskaźniki emisji 2010r'!$B$11,IF(C16="LPG",'Wskaźniki emisji 2010r'!$B$14,IF(C16="energia elektryczna",'Wskaźniki emisji 2010r'!$B$15,IF(C16="benzyna",'Wskaźniki emisji 2010r'!$B$13,IF(C16="olej napędowy",'Wskaźniki emisji 2010r'!$B$12,IF(C16="gaz płynny",'Wskaźniki emisji 2010r'!$B$14,)))))))))</f>
        <v>13.296000000000001</v>
      </c>
      <c r="G16" s="40">
        <f t="shared" si="0"/>
        <v>31.22539008</v>
      </c>
      <c r="H16" s="301">
        <f>IF(C16="węgiel kamienny",'Wskaźniki emisji 2010r'!$D$8,IF(C16="gaz ziemny",'Wskaźniki emisji 2010r'!$D$9,IF(C16="olej opałowy",'Wskaźniki emisji 2010r'!$D$10,IF(C16="drewno opałowe",'Wskaźniki emisji 2010r'!$D$11,IF(C16="LPG",'Wskaźniki emisji 2010r'!$D$14,IF(C16="energia elektryczna",'Wskaźniki emisji 2010r'!$D$15,IF(C16="benzyna",'Wskaźniki emisji 2010r'!$D$13,IF(C16="olej napędowy",'Wskaźniki emisji 2010r'!$D$12,IF(C16="gaz płynny",'Wskaźniki emisji 2010r'!$D$14)))))))))</f>
        <v>0.24590308370044053</v>
      </c>
      <c r="I16" s="66">
        <f t="shared" si="1"/>
        <v>7.6784197104211458</v>
      </c>
    </row>
    <row r="17" spans="1:10" ht="28.8" customHeight="1">
      <c r="A17" s="140">
        <v>11</v>
      </c>
      <c r="B17" s="139" t="s">
        <v>327</v>
      </c>
      <c r="C17" s="135" t="s">
        <v>114</v>
      </c>
      <c r="D17" s="40">
        <f>0.000361*1000000*'Wskaźniki emisji 2010r'!$B$22/1000</f>
        <v>0.25847599999999998</v>
      </c>
      <c r="E17" s="301" t="s">
        <v>3</v>
      </c>
      <c r="F17" s="40">
        <f>IF(C17="węgiel kamienny",'Wskaźniki emisji 2010r'!$B$8,IF(C17="gaz ziemny",'Wskaźniki emisji 2010r'!$B$9,IF(C17="olej opałowy",'Wskaźniki emisji 2010r'!$B$10,IF(C17="drewno opałowe",'Wskaźniki emisji 2010r'!$B$11,IF(C17="LPG",'Wskaźniki emisji 2010r'!$B$14,IF(C17="energia elektryczna",'Wskaźniki emisji 2010r'!$B$15,IF(C17="benzyna",'Wskaźniki emisji 2010r'!$B$13,IF(C17="olej napędowy",'Wskaźniki emisji 2010r'!$B$12,IF(C17="gaz płynny",'Wskaźniki emisji 2010r'!$B$14,)))))))))</f>
        <v>13.296000000000001</v>
      </c>
      <c r="G17" s="40">
        <f t="shared" si="0"/>
        <v>3.4366968959999999</v>
      </c>
      <c r="H17" s="301">
        <f>IF(C17="węgiel kamienny",'Wskaźniki emisji 2010r'!$D$8,IF(C17="gaz ziemny",'Wskaźniki emisji 2010r'!$D$9,IF(C17="olej opałowy",'Wskaźniki emisji 2010r'!$D$10,IF(C17="drewno opałowe",'Wskaźniki emisji 2010r'!$D$11,IF(C17="LPG",'Wskaźniki emisji 2010r'!$D$14,IF(C17="energia elektryczna",'Wskaźniki emisji 2010r'!$D$15,IF(C17="benzyna",'Wskaźniki emisji 2010r'!$D$13,IF(C17="olej napędowy",'Wskaźniki emisji 2010r'!$D$12,IF(C17="gaz płynny",'Wskaźniki emisji 2010r'!$D$14)))))))))</f>
        <v>0.24590308370044053</v>
      </c>
      <c r="I17" s="66">
        <f t="shared" si="1"/>
        <v>0.8450943644701322</v>
      </c>
    </row>
    <row r="18" spans="1:10" ht="46.2" customHeight="1">
      <c r="A18" s="135">
        <v>12</v>
      </c>
      <c r="B18" s="139" t="s">
        <v>328</v>
      </c>
      <c r="C18" s="67" t="s">
        <v>114</v>
      </c>
      <c r="D18" s="40">
        <f>0.002094*1000000*'Wskaźniki emisji 2010r'!$B$22/1000</f>
        <v>1.499304</v>
      </c>
      <c r="E18" s="301" t="s">
        <v>3</v>
      </c>
      <c r="F18" s="40">
        <f>IF(C18="węgiel kamienny",'Wskaźniki emisji 2010r'!$B$8,IF(C18="gaz ziemny",'Wskaźniki emisji 2010r'!$B$9,IF(C18="olej opałowy",'Wskaźniki emisji 2010r'!$B$10,IF(C18="drewno opałowe",'Wskaźniki emisji 2010r'!$B$11,IF(C18="LPG",'Wskaźniki emisji 2010r'!$B$14,IF(C18="energia elektryczna",'Wskaźniki emisji 2010r'!$B$15,IF(C18="benzyna",'Wskaźniki emisji 2010r'!$B$13,IF(C18="olej napędowy",'Wskaźniki emisji 2010r'!$B$12,IF(C18="gaz płynny",'Wskaźniki emisji 2010r'!$B$14,)))))))))</f>
        <v>13.296000000000001</v>
      </c>
      <c r="G18" s="40">
        <f t="shared" si="0"/>
        <v>19.934745984000003</v>
      </c>
      <c r="H18" s="301">
        <f>IF(C18="węgiel kamienny",'Wskaźniki emisji 2010r'!$D$8,IF(C18="gaz ziemny",'Wskaźniki emisji 2010r'!$D$9,IF(C18="olej opałowy",'Wskaźniki emisji 2010r'!$D$10,IF(C18="drewno opałowe",'Wskaźniki emisji 2010r'!$D$11,IF(C18="LPG",'Wskaźniki emisji 2010r'!$D$14,IF(C18="energia elektryczna",'Wskaźniki emisji 2010r'!$D$15,IF(C18="benzyna",'Wskaźniki emisji 2010r'!$D$13,IF(C18="olej napędowy",'Wskaźniki emisji 2010r'!$D$12,IF(C18="gaz płynny",'Wskaźniki emisji 2010r'!$D$14)))))))))</f>
        <v>0.24590308370044053</v>
      </c>
      <c r="I18" s="66">
        <f t="shared" si="1"/>
        <v>4.9020155102505738</v>
      </c>
    </row>
    <row r="19" spans="1:10" ht="24" customHeight="1">
      <c r="A19" s="203">
        <v>13</v>
      </c>
      <c r="B19" s="204" t="s">
        <v>329</v>
      </c>
      <c r="C19" s="67" t="s">
        <v>115</v>
      </c>
      <c r="D19" s="40">
        <v>16.5</v>
      </c>
      <c r="E19" s="301" t="s">
        <v>3</v>
      </c>
      <c r="F19" s="40">
        <f>IF(C19="węgiel kamienny",'Wskaźniki emisji 2010r'!$B$8,IF(C19="gaz ziemny",'Wskaźniki emisji 2010r'!$B$9,IF(C19="olej opałowy",'Wskaźniki emisji 2010r'!$B$10,IF(C19="drewno opałowe",'Wskaźniki emisji 2010r'!$B$11,IF(C19="LPG",'Wskaźniki emisji 2010r'!$B$14,IF(C19="energia elektryczna",'Wskaźniki emisji 2010r'!$B$15,IF(C19="benzyna",'Wskaźniki emisji 2010r'!$B$13,IF(C19="olej napędowy",'Wskaźniki emisji 2010r'!$B$12,IF(C19="gaz płynny",'Wskaźniki emisji 2010r'!$B$14,)))))))))</f>
        <v>6.9693200000000006</v>
      </c>
      <c r="G19" s="40">
        <f t="shared" si="0"/>
        <v>114.99378000000002</v>
      </c>
      <c r="H19" s="301">
        <f>IF(C19="węgiel kamienny",'Wskaźniki emisji 2010r'!$D$8,IF(C19="gaz ziemny",'Wskaźniki emisji 2010r'!$D$9,IF(C19="olej opałowy",'Wskaźniki emisji 2010r'!$D$10,IF(C19="drewno opałowe",'Wskaźniki emisji 2010r'!$D$11,IF(C19="LPG",'Wskaźniki emisji 2010r'!$D$14,IF(C19="energia elektryczna",'Wskaźniki emisji 2010r'!$D$15,IF(C19="benzyna",'Wskaźniki emisji 2010r'!$D$13,IF(C19="olej napędowy",'Wskaźniki emisji 2010r'!$D$12,IF(C19="gaz płynny",'Wskaźniki emisji 2010r'!$D$14)))))))))</f>
        <v>0.41431718061674006</v>
      </c>
      <c r="I19" s="66">
        <f t="shared" si="1"/>
        <v>47.643898718061678</v>
      </c>
    </row>
    <row r="20" spans="1:10" ht="15.75" customHeight="1">
      <c r="B20" s="133"/>
      <c r="C20" s="43"/>
      <c r="D20" s="43"/>
      <c r="E20" s="43"/>
      <c r="F20" s="63"/>
      <c r="G20" s="63"/>
      <c r="H20" s="63"/>
      <c r="I20" s="63"/>
    </row>
    <row r="21" spans="1:10" ht="16.5" customHeight="1">
      <c r="B21" s="133"/>
      <c r="C21" s="43"/>
      <c r="D21" s="43"/>
      <c r="E21" s="43"/>
      <c r="F21" s="63"/>
      <c r="G21" s="63"/>
      <c r="H21" s="63"/>
      <c r="I21" s="63"/>
    </row>
    <row r="22" spans="1:10" ht="16.5" customHeight="1">
      <c r="B22" s="133"/>
      <c r="C22" s="63"/>
      <c r="D22" s="63"/>
      <c r="E22" s="63"/>
      <c r="F22" s="63"/>
      <c r="G22" s="63"/>
      <c r="H22" s="63"/>
      <c r="I22" s="63"/>
    </row>
    <row r="23" spans="1:10" ht="42.75" customHeight="1">
      <c r="B23" s="445"/>
      <c r="C23" s="42"/>
      <c r="D23" s="42"/>
      <c r="E23" s="42"/>
      <c r="F23" s="42"/>
      <c r="G23" s="42"/>
      <c r="H23" s="42"/>
      <c r="I23" s="42"/>
      <c r="J23" s="58"/>
    </row>
    <row r="24" spans="1:10">
      <c r="B24" s="445"/>
      <c r="C24" s="42"/>
      <c r="D24" s="42"/>
      <c r="E24" s="43"/>
      <c r="F24" s="43"/>
      <c r="G24" s="43"/>
      <c r="H24" s="43"/>
      <c r="I24" s="43"/>
      <c r="J24" s="62"/>
    </row>
    <row r="25" spans="1:10">
      <c r="B25" s="133"/>
      <c r="C25" s="79"/>
      <c r="D25" s="444"/>
      <c r="E25" s="44"/>
      <c r="F25" s="44"/>
      <c r="G25" s="44"/>
      <c r="H25" s="444"/>
      <c r="I25" s="443"/>
      <c r="J25" s="62"/>
    </row>
    <row r="26" spans="1:10">
      <c r="B26" s="133"/>
      <c r="C26" s="79"/>
      <c r="D26" s="444"/>
      <c r="E26" s="44"/>
      <c r="F26" s="44"/>
      <c r="G26" s="44"/>
      <c r="H26" s="444"/>
      <c r="I26" s="443"/>
      <c r="J26" s="62"/>
    </row>
    <row r="27" spans="1:10">
      <c r="B27" s="133"/>
      <c r="C27" s="79"/>
      <c r="D27" s="444"/>
      <c r="E27" s="44"/>
      <c r="F27" s="44"/>
      <c r="G27" s="44"/>
      <c r="H27" s="444"/>
      <c r="I27" s="443"/>
      <c r="J27" s="62"/>
    </row>
    <row r="28" spans="1:10">
      <c r="B28" s="133"/>
      <c r="C28" s="44"/>
      <c r="D28" s="44"/>
      <c r="E28" s="44"/>
      <c r="F28" s="44"/>
      <c r="G28" s="44"/>
      <c r="H28" s="44"/>
      <c r="I28" s="44"/>
      <c r="J28" s="62"/>
    </row>
    <row r="29" spans="1:10">
      <c r="F29" s="43"/>
    </row>
  </sheetData>
  <mergeCells count="9">
    <mergeCell ref="A1:A2"/>
    <mergeCell ref="B1:B2"/>
    <mergeCell ref="C1:C2"/>
    <mergeCell ref="E1:E2"/>
    <mergeCell ref="I25:I27"/>
    <mergeCell ref="H25:H27"/>
    <mergeCell ref="D25:D27"/>
    <mergeCell ref="B23:B24"/>
    <mergeCell ref="D1:D2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differentFirst="1">
    <oddFooter>Strona &amp;P z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view="pageBreakPreview" topLeftCell="A4" zoomScale="93" zoomScaleNormal="100" zoomScaleSheetLayoutView="93" workbookViewId="0">
      <selection activeCell="D9" sqref="D9"/>
    </sheetView>
  </sheetViews>
  <sheetFormatPr defaultRowHeight="14.4"/>
  <cols>
    <col min="1" max="1" width="3.6640625" style="25" customWidth="1"/>
    <col min="2" max="2" width="27.6640625" style="141" customWidth="1"/>
    <col min="3" max="3" width="21.33203125" style="63" customWidth="1"/>
    <col min="4" max="4" width="12.6640625" style="63" customWidth="1"/>
    <col min="5" max="5" width="10.44140625" style="63" customWidth="1"/>
    <col min="6" max="6" width="16" style="63" customWidth="1"/>
    <col min="7" max="7" width="13.109375" style="63" customWidth="1"/>
    <col min="8" max="8" width="13.6640625" style="63" customWidth="1"/>
    <col min="9" max="9" width="11.109375" style="63" customWidth="1"/>
  </cols>
  <sheetData>
    <row r="1" spans="1:10" ht="28.2" customHeight="1">
      <c r="A1" s="393" t="s">
        <v>21</v>
      </c>
      <c r="B1" s="389" t="s">
        <v>36</v>
      </c>
      <c r="C1" s="389" t="s">
        <v>107</v>
      </c>
      <c r="D1" s="389" t="s">
        <v>83</v>
      </c>
      <c r="E1" s="393" t="s">
        <v>20</v>
      </c>
      <c r="F1" s="205" t="s">
        <v>14</v>
      </c>
      <c r="G1" s="205" t="s">
        <v>28</v>
      </c>
      <c r="H1" s="205" t="s">
        <v>100</v>
      </c>
      <c r="I1" s="205" t="s">
        <v>35</v>
      </c>
    </row>
    <row r="2" spans="1:10">
      <c r="A2" s="393"/>
      <c r="B2" s="389"/>
      <c r="C2" s="389"/>
      <c r="D2" s="389"/>
      <c r="E2" s="393"/>
      <c r="F2" s="200" t="s">
        <v>5</v>
      </c>
      <c r="G2" s="200" t="s">
        <v>1</v>
      </c>
      <c r="H2" s="200" t="s">
        <v>2</v>
      </c>
      <c r="I2" s="200" t="s">
        <v>3</v>
      </c>
    </row>
    <row r="3" spans="1:10" ht="45.6" customHeight="1">
      <c r="A3" s="201">
        <v>1</v>
      </c>
      <c r="B3" s="204" t="s">
        <v>331</v>
      </c>
      <c r="C3" s="201" t="s">
        <v>114</v>
      </c>
      <c r="D3" s="40">
        <f>0.000749*1000000*'Wskaźniki emisji 2015r'!B22/1000</f>
        <v>0.53628399999999998</v>
      </c>
      <c r="E3" s="201" t="s">
        <v>3</v>
      </c>
      <c r="F3" s="40">
        <f>IF(C3="węgiel kamienny",'Wskaźniki emisji 2015r'!$B$8,IF(C3="gaz ziemny",'Wskaźniki emisji 2015r'!$B$9,IF(C3="olej opałowy",'Wskaźniki emisji 2015r'!$B$10,IF(C3="drewno opałowe",'Wskaźniki emisji 2015r'!$B$11,IF(C3="LPG",'Wskaźniki emisji 2015r'!$B$14,IF(C3="energia elektryczna",'Wskaźniki emisji 2015r'!$B$15,IF(C3="benzyna",'Wskaźniki emisji 2015r'!$B$13,IF(C3="olej napędowy",'Wskaźniki emisji 2015r'!$B$12,IF(C3="gaz płynny",'Wskaźniki emisji 2015r'!$B$14,)))))))))</f>
        <v>13.296000000000001</v>
      </c>
      <c r="G3" s="40">
        <f>D3*F3</f>
        <v>7.1304320640000007</v>
      </c>
      <c r="H3" s="201">
        <f>IF(C3="węgiel kamienny",'Wskaźniki emisji 2015r'!$D$8,IF(C3="gaz ziemny",'Wskaźniki emisji 2015r'!$D$9,IF(C3="olej opałowy",'Wskaźniki emisji 2015r'!$D$10,IF(C3="drewno opałowe",'Wskaźniki emisji 2015r'!$D$11,IF(C3="LPG",'Wskaźniki emisji 2015r'!$D$14,IF(C3="energia elektryczna",'Wskaźniki emisji 2015r'!$D$15,IF(C3="benzyna",'Wskaźniki emisji 2015r'!$D$13,IF(C3="olej napędowy",'Wskaźniki emisji 2015r'!$D$12,IF(C3="gaz płynny",'Wskaźniki emisji 2015r'!$D$14)))))))))</f>
        <v>0.2015162454873646</v>
      </c>
      <c r="I3" s="66">
        <f t="shared" ref="I3:I10" si="0">G3*H3</f>
        <v>1.43689789824</v>
      </c>
    </row>
    <row r="4" spans="1:10" ht="48.6" customHeight="1">
      <c r="A4" s="201">
        <v>2</v>
      </c>
      <c r="B4" s="202" t="s">
        <v>332</v>
      </c>
      <c r="C4" s="201" t="s">
        <v>115</v>
      </c>
      <c r="D4" s="40">
        <v>104.5</v>
      </c>
      <c r="E4" s="201" t="s">
        <v>3</v>
      </c>
      <c r="F4" s="40">
        <f>IF(C4="węgiel kamienny",'Wskaźniki emisji 2015r'!$B$8,IF(C4="gaz ziemny",'Wskaźniki emisji 2015r'!$B$9,IF(C4="olej opałowy",'Wskaźniki emisji 2015r'!$B$10,IF(C4="drewno opałowe",'Wskaźniki emisji 2015r'!$B$11,IF(C4="LPG",'Wskaźniki emisji 2015r'!$B$14,IF(C4="energia elektryczna",'Wskaźniki emisji 2015r'!$B$15,IF(C4="benzyna",'Wskaźniki emisji 2015r'!$B$13,IF(C4="olej napędowy",'Wskaźniki emisji 2015r'!$B$12,IF(C4="gaz płynny",'Wskaźniki emisji 2015r'!$B$14,)))))))))</f>
        <v>7.3377300000000005</v>
      </c>
      <c r="G4" s="40">
        <f t="shared" ref="G4:G10" si="1">D4*F4</f>
        <v>766.79278500000009</v>
      </c>
      <c r="H4" s="301">
        <f>IF(C4="węgiel kamienny",'Wskaźniki emisji 2015r'!$D$8,IF(C4="gaz ziemny",'Wskaźniki emisji 2015r'!$D$9,IF(C4="olej opałowy",'Wskaźniki emisji 2015r'!$D$10,IF(C4="drewno opałowe",'Wskaźniki emisji 2015r'!$D$11,IF(C4="LPG",'Wskaźniki emisji 2015r'!$D$14,IF(C4="energia elektryczna",'Wskaźniki emisji 2015r'!$D$15,IF(C4="benzyna",'Wskaźniki emisji 2015r'!$D$13,IF(C4="olej napędowy",'Wskaźniki emisji 2015r'!$D$12,IF(C4="gaz płynny",'Wskaźniki emisji 2015r'!$D$14)))))))))</f>
        <v>0.33920577617328518</v>
      </c>
      <c r="I4" s="66">
        <f t="shared" si="0"/>
        <v>260.10054180000003</v>
      </c>
    </row>
    <row r="5" spans="1:10" ht="48.6" customHeight="1">
      <c r="A5" s="301"/>
      <c r="B5" s="204"/>
      <c r="C5" s="301" t="s">
        <v>163</v>
      </c>
      <c r="D5" s="40">
        <v>161.32499999999999</v>
      </c>
      <c r="E5" s="301" t="s">
        <v>3</v>
      </c>
      <c r="F5" s="40">
        <f>IF(C5="węgiel kamienny",'Wskaźniki emisji 2015r'!$B$8,IF(C5="gaz ziemny",'Wskaźniki emisji 2015r'!$B$9,IF(C5="olej opałowy",'Wskaźniki emisji 2015r'!$B$10,IF(C5="drewno opałowe",'Wskaźniki emisji 2015r'!$B$11,IF(C5="LPG",'Wskaźniki emisji 2015r'!$B$14,IF(C5="energia elektryczna",'Wskaźniki emisji 2015r'!$B$15,IF(C5="benzyna",'Wskaźniki emisji 2015r'!$B$13,IF(C5="olej napędowy",'Wskaźniki emisji 2015r'!$B$12,IF(C5="gaz płynny",'Wskaźniki emisji 2015r'!$B$14,)))))))))</f>
        <v>4.3212000000000002</v>
      </c>
      <c r="G5" s="40">
        <f t="shared" si="1"/>
        <v>697.11758999999995</v>
      </c>
      <c r="H5" s="301">
        <f>IF(C5="węgiel kamienny",'Wskaźniki emisji 2015r'!$D$8,IF(C5="gaz ziemny",'Wskaźniki emisji 2015r'!$D$9,IF(C5="olej opałowy",'Wskaźniki emisji 2015r'!$D$10,IF(C5="drewno opałowe",'Wskaźniki emisji 2015r'!$D$11,IF(C5="LPG",'Wskaźniki emisji 2015r'!$D$14,IF(C5="energia elektryczna",'Wskaźniki emisji 2015r'!$D$15,IF(C5="benzyna",'Wskaźniki emisji 2015r'!$D$13,IF(C5="olej napędowy",'Wskaźniki emisji 2015r'!$D$12,IF(C5="gaz płynny",'Wskaźniki emisji 2015r'!$D$14)))))))))</f>
        <v>0</v>
      </c>
      <c r="I5" s="66">
        <f t="shared" si="0"/>
        <v>0</v>
      </c>
    </row>
    <row r="6" spans="1:10" ht="48.6" customHeight="1">
      <c r="A6" s="301"/>
      <c r="B6" s="204"/>
      <c r="C6" s="301" t="s">
        <v>116</v>
      </c>
      <c r="D6" s="40">
        <v>89.74</v>
      </c>
      <c r="E6" s="301" t="s">
        <v>3</v>
      </c>
      <c r="F6" s="40">
        <f>IF(C6="węgiel kamienny",'Wskaźniki emisji 2015r'!$B$8,IF(C6="gaz ziemny",'Wskaźniki emisji 2015r'!$B$9,IF(C6="olej opałowy",'Wskaźniki emisji 2015r'!$B$10,IF(C6="drewno opałowe",'Wskaźniki emisji 2015r'!$B$11,IF(C6="LPG",'Wskaźniki emisji 2015r'!$B$14,IF(C6="energia elektryczna",'Wskaźniki emisji 2015r'!$B$15,IF(C6="benzyna",'Wskaźniki emisji 2015r'!$B$13,IF(C6="olej napędowy",'Wskaźniki emisji 2015r'!$B$12,IF(C6="gaz płynny",'Wskaźniki emisji 2015r'!$B$14,)))))))))</f>
        <v>11.132630000000001</v>
      </c>
      <c r="G6" s="40">
        <f t="shared" si="1"/>
        <v>999.04221619999998</v>
      </c>
      <c r="H6" s="301">
        <f>IF(C6="węgiel kamienny",'Wskaźniki emisji 2015r'!$D$8,IF(C6="gaz ziemny",'Wskaźniki emisji 2015r'!$D$9,IF(C6="olej opałowy",'Wskaźniki emisji 2015r'!$D$10,IF(C6="drewno opałowe",'Wskaźniki emisji 2015r'!$D$11,IF(C6="LPG",'Wskaźniki emisji 2015r'!$D$14,IF(C6="energia elektryczna",'Wskaźniki emisji 2015r'!$D$15,IF(C6="benzyna",'Wskaźniki emisji 2015r'!$D$13,IF(C6="olej napędowy",'Wskaźniki emisji 2015r'!$D$12,IF(C6="gaz płynny",'Wskaźniki emisji 2015r'!$D$14)))))))))</f>
        <v>0.27649819494584837</v>
      </c>
      <c r="I6" s="66">
        <f t="shared" si="0"/>
        <v>276.23336945400001</v>
      </c>
    </row>
    <row r="7" spans="1:10" ht="48.6" customHeight="1">
      <c r="A7" s="301">
        <v>3</v>
      </c>
      <c r="B7" s="204" t="str">
        <f>'Przedsiębiorcy 2010 r.'!B5</f>
        <v>Zakład Wielobranżowy "bonex" Miroslwa Nowowiejski, ul. Marii Konopnickiej 259, 42-260 Kamienica Polska</v>
      </c>
      <c r="C7" s="301" t="s">
        <v>115</v>
      </c>
      <c r="D7" s="40">
        <v>35</v>
      </c>
      <c r="E7" s="301" t="s">
        <v>3</v>
      </c>
      <c r="F7" s="40">
        <f>IF(C7="węgiel kamienny",'Wskaźniki emisji 2015r'!$B$8,IF(C7="gaz ziemny",'Wskaźniki emisji 2015r'!$B$9,IF(C7="olej opałowy",'Wskaźniki emisji 2015r'!$B$10,IF(C7="drewno opałowe",'Wskaźniki emisji 2015r'!$B$11,IF(C7="LPG",'Wskaźniki emisji 2015r'!$B$14,IF(C7="energia elektryczna",'Wskaźniki emisji 2015r'!$B$15,IF(C7="benzyna",'Wskaźniki emisji 2015r'!$B$13,IF(C7="olej napędowy",'Wskaźniki emisji 2015r'!$B$12,IF(C7="gaz płynny",'Wskaźniki emisji 2015r'!$B$14,)))))))))</f>
        <v>7.3377300000000005</v>
      </c>
      <c r="G7" s="40">
        <f t="shared" si="1"/>
        <v>256.82055000000003</v>
      </c>
      <c r="H7" s="301">
        <f>IF(C7="węgiel kamienny",'Wskaźniki emisji 2015r'!$D$8,IF(C7="gaz ziemny",'Wskaźniki emisji 2015r'!$D$9,IF(C7="olej opałowy",'Wskaźniki emisji 2015r'!$D$10,IF(C7="drewno opałowe",'Wskaźniki emisji 2015r'!$D$11,IF(C7="LPG",'Wskaźniki emisji 2015r'!$D$14,IF(C7="energia elektryczna",'Wskaźniki emisji 2015r'!$D$15,IF(C7="benzyna",'Wskaźniki emisji 2015r'!$D$13,IF(C7="olej napędowy",'Wskaźniki emisji 2015r'!$D$12,IF(C7="gaz płynny",'Wskaźniki emisji 2015r'!$D$14)))))))))</f>
        <v>0.33920577617328518</v>
      </c>
      <c r="I7" s="66">
        <f t="shared" si="0"/>
        <v>87.115014000000002</v>
      </c>
    </row>
    <row r="8" spans="1:10" ht="74.400000000000006" customHeight="1">
      <c r="A8" s="201">
        <v>4</v>
      </c>
      <c r="B8" s="204" t="s">
        <v>333</v>
      </c>
      <c r="C8" s="201" t="s">
        <v>115</v>
      </c>
      <c r="D8" s="40">
        <v>4.5</v>
      </c>
      <c r="E8" s="201" t="s">
        <v>3</v>
      </c>
      <c r="F8" s="40">
        <f>IF(C8="węgiel kamienny",'Wskaźniki emisji 2015r'!$B$8,IF(C8="gaz ziemny",'Wskaźniki emisji 2015r'!$B$9,IF(C8="olej opałowy",'Wskaźniki emisji 2015r'!$B$10,IF(C8="drewno opałowe",'Wskaźniki emisji 2015r'!$B$11,IF(C8="LPG",'Wskaźniki emisji 2015r'!$B$14,IF(C8="energia elektryczna",'Wskaźniki emisji 2015r'!$B$15,IF(C8="benzyna",'Wskaźniki emisji 2015r'!$B$13,IF(C8="olej napędowy",'Wskaźniki emisji 2015r'!$B$12,IF(C8="gaz płynny",'Wskaźniki emisji 2015r'!$B$14,)))))))))</f>
        <v>7.3377300000000005</v>
      </c>
      <c r="G8" s="40">
        <f t="shared" si="1"/>
        <v>33.019784999999999</v>
      </c>
      <c r="H8" s="301">
        <f>IF(C8="węgiel kamienny",'Wskaźniki emisji 2015r'!$D$8,IF(C8="gaz ziemny",'Wskaźniki emisji 2015r'!$D$9,IF(C8="olej opałowy",'Wskaźniki emisji 2015r'!$D$10,IF(C8="drewno opałowe",'Wskaźniki emisji 2015r'!$D$11,IF(C8="LPG",'Wskaźniki emisji 2015r'!$D$14,IF(C8="energia elektryczna",'Wskaźniki emisji 2015r'!$D$15,IF(C8="benzyna",'Wskaźniki emisji 2015r'!$D$13,IF(C8="olej napędowy",'Wskaźniki emisji 2015r'!$D$12,IF(C8="gaz płynny",'Wskaźniki emisji 2015r'!$D$14)))))))))</f>
        <v>0.33920577617328518</v>
      </c>
      <c r="I8" s="66">
        <f t="shared" si="0"/>
        <v>11.2005018</v>
      </c>
    </row>
    <row r="9" spans="1:10" ht="74.400000000000006" customHeight="1">
      <c r="A9" s="301">
        <v>5</v>
      </c>
      <c r="B9" s="204" t="str">
        <f>'Przedsiębiorcy 2010 r.'!B3</f>
        <v>Przychodnia lekarska w Kamienicy Polskiej</v>
      </c>
      <c r="C9" s="301" t="s">
        <v>114</v>
      </c>
      <c r="D9" s="40">
        <f>10361*'Wskaźniki emisji 2015r'!B22/1000</f>
        <v>7.4184760000000001</v>
      </c>
      <c r="E9" s="301" t="s">
        <v>3</v>
      </c>
      <c r="F9" s="40">
        <f>IF(C9="węgiel kamienny",'Wskaźniki emisji 2015r'!$B$8,IF(C9="gaz ziemny",'Wskaźniki emisji 2015r'!$B$9,IF(C9="olej opałowy",'Wskaźniki emisji 2015r'!$B$10,IF(C9="drewno opałowe",'Wskaźniki emisji 2015r'!$B$11,IF(C9="LPG",'Wskaźniki emisji 2015r'!$B$14,IF(C9="energia elektryczna",'Wskaźniki emisji 2015r'!$B$15,IF(C9="benzyna",'Wskaźniki emisji 2015r'!$B$13,IF(C9="olej napędowy",'Wskaźniki emisji 2015r'!$B$12,IF(C9="gaz płynny",'Wskaźniki emisji 2015r'!$B$14,)))))))))</f>
        <v>13.296000000000001</v>
      </c>
      <c r="G9" s="40">
        <f t="shared" si="1"/>
        <v>98.636056896000014</v>
      </c>
      <c r="H9" s="301">
        <f>IF(C9="węgiel kamienny",'Wskaźniki emisji 2015r'!$D$8,IF(C9="gaz ziemny",'Wskaźniki emisji 2015r'!$D$9,IF(C9="olej opałowy",'Wskaźniki emisji 2015r'!$D$10,IF(C9="drewno opałowe",'Wskaźniki emisji 2015r'!$D$11,IF(C9="LPG",'Wskaźniki emisji 2015r'!$D$14,IF(C9="energia elektryczna",'Wskaźniki emisji 2015r'!$D$15,IF(C9="benzyna",'Wskaźniki emisji 2015r'!$D$13,IF(C9="olej napędowy",'Wskaźniki emisji 2015r'!$D$12,IF(C9="gaz płynny",'Wskaźniki emisji 2015r'!$D$14)))))))))</f>
        <v>0.2015162454873646</v>
      </c>
      <c r="I9" s="66">
        <f t="shared" si="0"/>
        <v>19.876767855360001</v>
      </c>
    </row>
    <row r="10" spans="1:10" ht="44.4" customHeight="1">
      <c r="A10" s="201">
        <v>6</v>
      </c>
      <c r="B10" s="204" t="s">
        <v>334</v>
      </c>
      <c r="C10" s="201" t="s">
        <v>115</v>
      </c>
      <c r="D10" s="40">
        <v>28</v>
      </c>
      <c r="E10" s="201" t="s">
        <v>3</v>
      </c>
      <c r="F10" s="40">
        <f>IF(C10="węgiel kamienny",'Wskaźniki emisji 2015r'!$B$8,IF(C10="gaz ziemny",'Wskaźniki emisji 2015r'!$B$9,IF(C10="olej opałowy",'Wskaźniki emisji 2015r'!$B$10,IF(C10="drewno opałowe",'Wskaźniki emisji 2015r'!$B$11,IF(C10="LPG",'Wskaźniki emisji 2015r'!$B$14,IF(C10="energia elektryczna",'Wskaźniki emisji 2015r'!$B$15,IF(C10="benzyna",'Wskaźniki emisji 2015r'!$B$13,IF(C10="olej napędowy",'Wskaźniki emisji 2015r'!$B$12,IF(C10="gaz płynny",'Wskaźniki emisji 2015r'!$B$14,)))))))))</f>
        <v>7.3377300000000005</v>
      </c>
      <c r="G10" s="40">
        <f t="shared" si="1"/>
        <v>205.45644000000001</v>
      </c>
      <c r="H10" s="301">
        <f>IF(C10="węgiel kamienny",'Wskaźniki emisji 2015r'!$D$8,IF(C10="gaz ziemny",'Wskaźniki emisji 2015r'!$D$9,IF(C10="olej opałowy",'Wskaźniki emisji 2015r'!$D$10,IF(C10="drewno opałowe",'Wskaźniki emisji 2015r'!$D$11,IF(C10="LPG",'Wskaźniki emisji 2015r'!$D$14,IF(C10="energia elektryczna",'Wskaźniki emisji 2015r'!$D$15,IF(C10="benzyna",'Wskaźniki emisji 2015r'!$D$13,IF(C10="olej napędowy",'Wskaźniki emisji 2015r'!$D$12,IF(C10="gaz płynny",'Wskaźniki emisji 2015r'!$D$14)))))))))</f>
        <v>0.33920577617328518</v>
      </c>
      <c r="I10" s="66">
        <f t="shared" si="0"/>
        <v>69.692011199999996</v>
      </c>
    </row>
    <row r="11" spans="1:10" ht="15.75" customHeight="1">
      <c r="B11" s="208"/>
      <c r="C11" s="206"/>
      <c r="D11" s="206"/>
      <c r="E11" s="206"/>
    </row>
    <row r="12" spans="1:10" ht="16.5" customHeight="1">
      <c r="B12" s="208"/>
      <c r="C12" s="206"/>
      <c r="D12" s="206"/>
      <c r="E12" s="206"/>
    </row>
    <row r="13" spans="1:10" ht="16.5" customHeight="1">
      <c r="B13" s="208"/>
    </row>
    <row r="14" spans="1:10" ht="42.75" customHeight="1">
      <c r="B14" s="445"/>
      <c r="C14" s="208"/>
      <c r="D14" s="208"/>
      <c r="E14" s="208"/>
      <c r="F14" s="208"/>
      <c r="G14" s="208"/>
      <c r="H14" s="208"/>
      <c r="I14" s="208"/>
      <c r="J14" s="58"/>
    </row>
    <row r="15" spans="1:10">
      <c r="B15" s="445"/>
      <c r="C15" s="208"/>
      <c r="D15" s="208"/>
      <c r="E15" s="206"/>
      <c r="F15" s="206"/>
      <c r="G15" s="206"/>
      <c r="H15" s="206"/>
      <c r="I15" s="206"/>
      <c r="J15" s="62"/>
    </row>
    <row r="16" spans="1:10">
      <c r="B16" s="208"/>
      <c r="C16" s="79"/>
      <c r="D16" s="444"/>
      <c r="E16" s="207"/>
      <c r="F16" s="207"/>
      <c r="G16" s="207"/>
      <c r="H16" s="444"/>
      <c r="I16" s="443"/>
      <c r="J16" s="62"/>
    </row>
    <row r="17" spans="2:10">
      <c r="B17" s="208"/>
      <c r="C17" s="79"/>
      <c r="D17" s="444"/>
      <c r="E17" s="207"/>
      <c r="F17" s="207"/>
      <c r="G17" s="207"/>
      <c r="H17" s="444"/>
      <c r="I17" s="443"/>
      <c r="J17" s="62"/>
    </row>
    <row r="18" spans="2:10">
      <c r="B18" s="208"/>
      <c r="C18" s="79"/>
      <c r="D18" s="444"/>
      <c r="E18" s="207"/>
      <c r="F18" s="207"/>
      <c r="G18" s="207"/>
      <c r="H18" s="444"/>
      <c r="I18" s="443"/>
      <c r="J18" s="62"/>
    </row>
    <row r="19" spans="2:10">
      <c r="B19" s="208"/>
      <c r="C19" s="207"/>
      <c r="D19" s="207"/>
      <c r="E19" s="207"/>
      <c r="F19" s="207"/>
      <c r="G19" s="207"/>
      <c r="H19" s="207"/>
      <c r="I19" s="207"/>
      <c r="J19" s="62"/>
    </row>
    <row r="20" spans="2:10">
      <c r="F20" s="206"/>
    </row>
  </sheetData>
  <mergeCells count="9">
    <mergeCell ref="D16:D18"/>
    <mergeCell ref="H16:H18"/>
    <mergeCell ref="I16:I18"/>
    <mergeCell ref="A1:A2"/>
    <mergeCell ref="B1:B2"/>
    <mergeCell ref="C1:C2"/>
    <mergeCell ref="D1:D2"/>
    <mergeCell ref="E1:E2"/>
    <mergeCell ref="B14:B15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differentFirst="1">
    <oddFooter>Strona &amp;P z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1"/>
  <sheetViews>
    <sheetView view="pageBreakPreview" topLeftCell="A34" zoomScale="93" zoomScaleNormal="100" zoomScaleSheetLayoutView="93" workbookViewId="0">
      <selection activeCell="A2" sqref="A2:H17"/>
    </sheetView>
  </sheetViews>
  <sheetFormatPr defaultRowHeight="14.4"/>
  <cols>
    <col min="1" max="2" width="13.44140625" style="24" customWidth="1"/>
    <col min="3" max="3" width="10.6640625" style="24" customWidth="1"/>
    <col min="4" max="4" width="9.5546875" style="24" customWidth="1"/>
    <col min="5" max="5" width="11.21875" style="24" customWidth="1"/>
    <col min="6" max="6" width="12.33203125" style="24" customWidth="1"/>
    <col min="7" max="7" width="10" style="24" customWidth="1"/>
    <col min="8" max="8" width="9.5546875" style="24" customWidth="1"/>
  </cols>
  <sheetData>
    <row r="1" spans="1:13">
      <c r="A1" s="388" t="s">
        <v>201</v>
      </c>
      <c r="B1" s="388"/>
      <c r="C1" s="388"/>
      <c r="D1" s="388"/>
      <c r="E1" s="388"/>
      <c r="F1" s="388"/>
      <c r="G1" s="388"/>
      <c r="H1" s="388"/>
    </row>
    <row r="2" spans="1:13" ht="19.95" customHeight="1">
      <c r="A2" s="390" t="s">
        <v>202</v>
      </c>
      <c r="B2" s="389" t="s">
        <v>174</v>
      </c>
      <c r="C2" s="393" t="s">
        <v>28</v>
      </c>
      <c r="D2" s="393"/>
      <c r="E2" s="393"/>
      <c r="F2" s="393"/>
      <c r="G2" s="393"/>
      <c r="H2" s="393"/>
    </row>
    <row r="3" spans="1:13" ht="19.2" customHeight="1">
      <c r="A3" s="391"/>
      <c r="B3" s="389"/>
      <c r="C3" s="394" t="s">
        <v>1</v>
      </c>
      <c r="D3" s="395"/>
      <c r="E3" s="395"/>
      <c r="F3" s="395"/>
      <c r="G3" s="395"/>
      <c r="H3" s="396"/>
    </row>
    <row r="4" spans="1:13" ht="31.2" customHeight="1">
      <c r="A4" s="391"/>
      <c r="B4" s="389"/>
      <c r="C4" s="205" t="s">
        <v>7</v>
      </c>
      <c r="D4" s="200" t="s">
        <v>11</v>
      </c>
      <c r="E4" s="200" t="s">
        <v>10</v>
      </c>
      <c r="F4" s="205" t="s">
        <v>162</v>
      </c>
      <c r="G4" s="205" t="s">
        <v>16</v>
      </c>
      <c r="H4" s="200" t="s">
        <v>26</v>
      </c>
    </row>
    <row r="5" spans="1:13" ht="24" customHeight="1">
      <c r="A5" s="391"/>
      <c r="B5" s="389"/>
      <c r="C5" s="27">
        <f>(SUMIF('Przedsiębiorcy 2010 r.'!$C$3:$C$19,"węgiel kamienny",'Przedsiębiorcy 2010 r.'!$G$3:$G$19))*470/13</f>
        <v>39004.603532307694</v>
      </c>
      <c r="D5" s="27">
        <f>1000*(163.7+238.1+34.2)*'Wskaźniki emisji 2010r'!B22*'Wskaźniki emisji 2010r'!B9/1000</f>
        <v>4150.6920959999998</v>
      </c>
      <c r="E5" s="27">
        <f>(SUMIF('Przedsiębiorcy 2010 r.'!$C$3:$C$19,"olej opałowy",'Przedsiębiorcy 2010 r.'!$G$3:$G$19))*470/13</f>
        <v>18437.947441615386</v>
      </c>
      <c r="F5" s="27">
        <f>(SUMIF('Przedsiębiorcy 2010 r.'!$C$3:$C$19,"drewno opałowe",'Przedsiębiorcy 2010 r.'!$G$3:$G$19))*470/13</f>
        <v>3280.788</v>
      </c>
      <c r="G5" s="27">
        <f>471*1954.1/1000</f>
        <v>920.38109999999995</v>
      </c>
      <c r="H5" s="27">
        <f>C5+D5+E5+G5+F5</f>
        <v>65794.412169923075</v>
      </c>
    </row>
    <row r="6" spans="1:13">
      <c r="A6" s="391"/>
      <c r="B6" s="390" t="s">
        <v>175</v>
      </c>
      <c r="C6" s="393" t="s">
        <v>28</v>
      </c>
      <c r="D6" s="393"/>
      <c r="E6" s="393"/>
      <c r="F6" s="393"/>
      <c r="G6" s="393"/>
      <c r="H6" s="393"/>
    </row>
    <row r="7" spans="1:13">
      <c r="A7" s="391"/>
      <c r="B7" s="391"/>
      <c r="C7" s="394" t="s">
        <v>1</v>
      </c>
      <c r="D7" s="395"/>
      <c r="E7" s="395"/>
      <c r="F7" s="395"/>
      <c r="G7" s="395"/>
      <c r="H7" s="396"/>
    </row>
    <row r="8" spans="1:13" ht="27.6">
      <c r="A8" s="391"/>
      <c r="B8" s="391"/>
      <c r="C8" s="205" t="s">
        <v>7</v>
      </c>
      <c r="D8" s="200" t="s">
        <v>11</v>
      </c>
      <c r="E8" s="200" t="s">
        <v>10</v>
      </c>
      <c r="F8" s="205" t="s">
        <v>162</v>
      </c>
      <c r="G8" s="205" t="s">
        <v>16</v>
      </c>
      <c r="H8" s="200" t="s">
        <v>26</v>
      </c>
    </row>
    <row r="9" spans="1:13">
      <c r="A9" s="391"/>
      <c r="B9" s="392"/>
      <c r="C9" s="27">
        <f>C5*512/470</f>
        <v>42490.121294769233</v>
      </c>
      <c r="D9" s="27">
        <f>1000*(204.7+217.7)*'Wskaźniki emisji 2015r'!B22*'Wskaźniki emisji 2015r'!B9/1000</f>
        <v>4021.2209663999997</v>
      </c>
      <c r="E9" s="27">
        <f>E5*512/470</f>
        <v>20085.593808738464</v>
      </c>
      <c r="F9" s="27">
        <f>F5*512/470</f>
        <v>3573.9648000000002</v>
      </c>
      <c r="G9" s="27">
        <f>512*1848.7/1000</f>
        <v>946.53440000000001</v>
      </c>
      <c r="H9" s="27">
        <f>C9+D9+E9+G9+F9</f>
        <v>71117.435269907699</v>
      </c>
    </row>
    <row r="10" spans="1:13" ht="23.4" customHeight="1">
      <c r="A10" s="391"/>
      <c r="B10" s="389" t="str">
        <f>B2</f>
        <v>2010 rok</v>
      </c>
      <c r="C10" s="397" t="s">
        <v>176</v>
      </c>
      <c r="D10" s="398"/>
      <c r="E10" s="398"/>
      <c r="F10" s="398"/>
      <c r="G10" s="398"/>
      <c r="H10" s="399"/>
    </row>
    <row r="11" spans="1:13" ht="17.399999999999999" customHeight="1">
      <c r="A11" s="391"/>
      <c r="B11" s="389"/>
      <c r="C11" s="397" t="s">
        <v>3</v>
      </c>
      <c r="D11" s="398"/>
      <c r="E11" s="398"/>
      <c r="F11" s="398"/>
      <c r="G11" s="398"/>
      <c r="H11" s="399"/>
    </row>
    <row r="12" spans="1:13" ht="27" customHeight="1">
      <c r="A12" s="391"/>
      <c r="B12" s="389"/>
      <c r="C12" s="146" t="str">
        <f>C4</f>
        <v>Węgiel kamienny</v>
      </c>
      <c r="D12" s="29" t="str">
        <f t="shared" ref="D12:G12" si="0">D4</f>
        <v>Gaz ziemny</v>
      </c>
      <c r="E12" s="29" t="str">
        <f t="shared" si="0"/>
        <v>Olej opałowy</v>
      </c>
      <c r="F12" s="146" t="str">
        <f t="shared" si="0"/>
        <v>Drewno opałowe</v>
      </c>
      <c r="G12" s="146" t="str">
        <f t="shared" si="0"/>
        <v>Energia elektryczna</v>
      </c>
      <c r="H12" s="29" t="s">
        <v>26</v>
      </c>
      <c r="J12" s="155"/>
      <c r="K12" s="155"/>
      <c r="L12" s="155"/>
      <c r="M12" s="155"/>
    </row>
    <row r="13" spans="1:13" ht="24.6" customHeight="1">
      <c r="A13" s="391"/>
      <c r="B13" s="389"/>
      <c r="C13" s="27">
        <f>C5*'Wskaźniki emisji 2010r'!D8</f>
        <v>16160.277366579465</v>
      </c>
      <c r="D13" s="27">
        <f>D5*'Wskaźniki emisji 2010r'!D9</f>
        <v>1020.6679858974449</v>
      </c>
      <c r="E13" s="27">
        <f>E5*'Wskaźniki emisji 2010r'!D10</f>
        <v>6220.9797116886448</v>
      </c>
      <c r="F13" s="27">
        <f>F5*'Wskaźniki emisji 2010r'!D11</f>
        <v>0</v>
      </c>
      <c r="G13" s="27">
        <f>G5*'Wskaźniki emisji 2010r'!D15</f>
        <v>747.34945319999997</v>
      </c>
      <c r="H13" s="27">
        <f>SUM(C13:G13)</f>
        <v>24149.274517365553</v>
      </c>
      <c r="J13" s="155"/>
      <c r="K13" s="155"/>
      <c r="L13" s="155"/>
      <c r="M13" s="155"/>
    </row>
    <row r="14" spans="1:13">
      <c r="A14" s="391"/>
      <c r="B14" s="389" t="str">
        <f>B6</f>
        <v>2015 rok</v>
      </c>
      <c r="C14" s="397" t="s">
        <v>176</v>
      </c>
      <c r="D14" s="398"/>
      <c r="E14" s="398"/>
      <c r="F14" s="398"/>
      <c r="G14" s="398"/>
      <c r="H14" s="399"/>
      <c r="J14" s="155"/>
      <c r="K14" s="157" t="e">
        <f>60/#REF!</f>
        <v>#REF!</v>
      </c>
      <c r="L14" s="155"/>
      <c r="M14" s="155"/>
    </row>
    <row r="15" spans="1:13">
      <c r="A15" s="391"/>
      <c r="B15" s="389"/>
      <c r="C15" s="397" t="s">
        <v>3</v>
      </c>
      <c r="D15" s="398"/>
      <c r="E15" s="398"/>
      <c r="F15" s="398"/>
      <c r="G15" s="398"/>
      <c r="H15" s="399"/>
      <c r="J15" s="155"/>
      <c r="K15" s="157"/>
      <c r="L15" s="155"/>
      <c r="M15" s="155"/>
    </row>
    <row r="16" spans="1:13" ht="27.6">
      <c r="A16" s="391"/>
      <c r="B16" s="389"/>
      <c r="C16" s="146" t="str">
        <f>C8</f>
        <v>Węgiel kamienny</v>
      </c>
      <c r="D16" s="29" t="str">
        <f t="shared" ref="D16:G16" si="1">D8</f>
        <v>Gaz ziemny</v>
      </c>
      <c r="E16" s="29" t="str">
        <f t="shared" si="1"/>
        <v>Olej opałowy</v>
      </c>
      <c r="F16" s="146" t="str">
        <f t="shared" si="1"/>
        <v>Drewno opałowe</v>
      </c>
      <c r="G16" s="146" t="str">
        <f t="shared" si="1"/>
        <v>Energia elektryczna</v>
      </c>
      <c r="H16" s="29" t="s">
        <v>26</v>
      </c>
      <c r="J16" s="155"/>
      <c r="K16" s="157"/>
      <c r="L16" s="155"/>
      <c r="M16" s="155"/>
    </row>
    <row r="17" spans="1:13">
      <c r="A17" s="392"/>
      <c r="B17" s="389"/>
      <c r="C17" s="27">
        <f>C9*'Wskaźniki emisji 2015r'!D8</f>
        <v>14412.894573489231</v>
      </c>
      <c r="D17" s="27">
        <f>D9*'Wskaźniki emisji 2015r'!D9</f>
        <v>810.34135142399987</v>
      </c>
      <c r="E17" s="27">
        <f>E9*'Wskaźniki emisji 2015r'!D10</f>
        <v>5553.6304325316933</v>
      </c>
      <c r="F17" s="27">
        <v>0</v>
      </c>
      <c r="G17" s="27">
        <f>G9*'Wskaźniki emisji 2015r'!D15</f>
        <v>768.58593280000002</v>
      </c>
      <c r="H17" s="27">
        <f>SUM(C17:G17)</f>
        <v>21545.452290244924</v>
      </c>
      <c r="J17" s="155"/>
      <c r="K17" s="155"/>
      <c r="L17" s="155"/>
      <c r="M17" s="155"/>
    </row>
    <row r="18" spans="1:13">
      <c r="J18" s="155"/>
      <c r="K18" s="155"/>
      <c r="L18" s="155"/>
      <c r="M18" s="155"/>
    </row>
    <row r="19" spans="1:13">
      <c r="J19" s="155"/>
      <c r="K19" s="155"/>
      <c r="L19" s="155"/>
      <c r="M19" s="155"/>
    </row>
    <row r="20" spans="1:13">
      <c r="J20" s="155"/>
      <c r="K20" s="155"/>
      <c r="L20" s="155"/>
      <c r="M20" s="155"/>
    </row>
    <row r="21" spans="1:13">
      <c r="J21" s="155"/>
      <c r="K21" s="155"/>
      <c r="L21" s="155"/>
      <c r="M21" s="155"/>
    </row>
  </sheetData>
  <mergeCells count="14">
    <mergeCell ref="C11:H11"/>
    <mergeCell ref="B14:B17"/>
    <mergeCell ref="C14:H14"/>
    <mergeCell ref="C15:H15"/>
    <mergeCell ref="A1:H1"/>
    <mergeCell ref="A2:A17"/>
    <mergeCell ref="B2:B5"/>
    <mergeCell ref="C2:H2"/>
    <mergeCell ref="C3:H3"/>
    <mergeCell ref="B6:B9"/>
    <mergeCell ref="C6:H6"/>
    <mergeCell ref="C7:H7"/>
    <mergeCell ref="B10:B13"/>
    <mergeCell ref="C10:H10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19" max="16" man="1"/>
  </row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A58" zoomScale="80" zoomScaleNormal="100" zoomScaleSheetLayoutView="80" workbookViewId="0">
      <selection activeCell="D66" sqref="D66:D74"/>
    </sheetView>
  </sheetViews>
  <sheetFormatPr defaultRowHeight="14.4"/>
  <cols>
    <col min="1" max="1" width="23.33203125" style="25" customWidth="1"/>
    <col min="2" max="2" width="27" style="25" customWidth="1"/>
    <col min="3" max="3" width="29.6640625" style="25" customWidth="1"/>
    <col min="4" max="4" width="9.88671875" style="367" bestFit="1" customWidth="1"/>
    <col min="5" max="7" width="9.88671875" style="230" bestFit="1" customWidth="1"/>
    <col min="8" max="9" width="8.88671875" style="230"/>
    <col min="12" max="12" width="10.44140625" bestFit="1" customWidth="1"/>
  </cols>
  <sheetData>
    <row r="1" spans="1:12">
      <c r="A1" s="231" t="s">
        <v>341</v>
      </c>
    </row>
    <row r="2" spans="1:12">
      <c r="A2" s="388" t="s">
        <v>208</v>
      </c>
      <c r="B2" s="388"/>
      <c r="C2" s="388"/>
    </row>
    <row r="3" spans="1:12">
      <c r="A3" s="387" t="s">
        <v>69</v>
      </c>
      <c r="B3" s="20" t="s">
        <v>28</v>
      </c>
      <c r="C3" s="20" t="s">
        <v>147</v>
      </c>
    </row>
    <row r="4" spans="1:12">
      <c r="A4" s="387"/>
      <c r="B4" s="20" t="s">
        <v>34</v>
      </c>
      <c r="C4" s="20" t="s">
        <v>33</v>
      </c>
      <c r="F4" s="230">
        <v>2010</v>
      </c>
      <c r="G4" s="230">
        <v>2015</v>
      </c>
    </row>
    <row r="5" spans="1:12">
      <c r="A5" s="26" t="s">
        <v>70</v>
      </c>
      <c r="B5" s="27">
        <f>'Podsumowanie- Obiekty publiczne'!H5</f>
        <v>1325.9892353279999</v>
      </c>
      <c r="C5" s="27">
        <f>'Podsumowanie- Obiekty publiczne'!H13</f>
        <v>426.23682345378398</v>
      </c>
      <c r="D5" s="365">
        <f>C5/$C$10</f>
        <v>6.8106250246260311E-3</v>
      </c>
      <c r="E5" s="1" t="str">
        <f>A5</f>
        <v>Obiekty publiczne</v>
      </c>
      <c r="F5" s="368">
        <f>B5</f>
        <v>1325.9892353279999</v>
      </c>
      <c r="G5" s="367">
        <f>B14</f>
        <v>1151.2604445440002</v>
      </c>
      <c r="L5" s="1"/>
    </row>
    <row r="6" spans="1:12">
      <c r="A6" s="28" t="s">
        <v>71</v>
      </c>
      <c r="B6" s="27">
        <f>'Podsumowanie- Obiekty prywatne'!H5</f>
        <v>78785.983809559504</v>
      </c>
      <c r="C6" s="27">
        <f>'Podsumowanie- Obiekty prywatne'!H13</f>
        <v>31634.410211168979</v>
      </c>
      <c r="D6" s="365">
        <f t="shared" ref="D6:D10" si="0">C6/$C$10</f>
        <v>0.50547041918548252</v>
      </c>
      <c r="E6" s="1" t="str">
        <f t="shared" ref="E6:E9" si="1">A6</f>
        <v>Obiekty mieszkalne</v>
      </c>
      <c r="F6" s="368">
        <f t="shared" ref="F6:F9" si="2">B6</f>
        <v>78785.983809559504</v>
      </c>
      <c r="G6" s="367">
        <f t="shared" ref="G6:G9" si="3">B15</f>
        <v>81493.652748475943</v>
      </c>
      <c r="L6" s="1"/>
    </row>
    <row r="7" spans="1:12">
      <c r="A7" s="28" t="s">
        <v>72</v>
      </c>
      <c r="B7" s="27">
        <f>'Prognoza transport suma'!B4</f>
        <v>19879.013356553864</v>
      </c>
      <c r="C7" s="27">
        <f>'Transport- rok bazowy '!F62</f>
        <v>6146.4324567882777</v>
      </c>
      <c r="D7" s="365">
        <f t="shared" si="0"/>
        <v>9.8210770161003727E-2</v>
      </c>
      <c r="E7" s="1" t="str">
        <f t="shared" si="1"/>
        <v>Transport</v>
      </c>
      <c r="F7" s="368">
        <f t="shared" si="2"/>
        <v>19879.013356553864</v>
      </c>
      <c r="G7" s="367">
        <f t="shared" si="3"/>
        <v>20351.97697096537</v>
      </c>
      <c r="L7" s="1"/>
    </row>
    <row r="8" spans="1:12">
      <c r="A8" s="28" t="s">
        <v>73</v>
      </c>
      <c r="B8" s="27">
        <f>'Owietlenie uliczne'!G10</f>
        <v>280.47280000000001</v>
      </c>
      <c r="C8" s="27">
        <f>'Owietlenie uliczne'!H10</f>
        <v>227.74391360000001</v>
      </c>
      <c r="D8" s="365">
        <f t="shared" si="0"/>
        <v>3.6390060919703929E-3</v>
      </c>
      <c r="E8" s="1" t="str">
        <f t="shared" si="1"/>
        <v>Oświetlenie</v>
      </c>
      <c r="F8" s="368">
        <f t="shared" si="2"/>
        <v>280.47280000000001</v>
      </c>
      <c r="G8" s="367">
        <f t="shared" si="3"/>
        <v>280.47280000000001</v>
      </c>
      <c r="L8" s="1"/>
    </row>
    <row r="9" spans="1:12">
      <c r="A9" s="28" t="s">
        <v>74</v>
      </c>
      <c r="B9" s="27">
        <f>'Podsumowanie- Przedsiębiorcy'!H5</f>
        <v>65794.412169923075</v>
      </c>
      <c r="C9" s="27">
        <f>'Podsumowanie- Przedsiębiorcy'!H13</f>
        <v>24149.274517365553</v>
      </c>
      <c r="D9" s="365">
        <f t="shared" si="0"/>
        <v>0.38586917953691741</v>
      </c>
      <c r="E9" s="1" t="str">
        <f t="shared" si="1"/>
        <v>Usługi, handel, przemysł</v>
      </c>
      <c r="F9" s="368">
        <f t="shared" si="2"/>
        <v>65794.412169923075</v>
      </c>
      <c r="G9" s="367">
        <f t="shared" si="3"/>
        <v>71117.435269907699</v>
      </c>
      <c r="L9" s="1"/>
    </row>
    <row r="10" spans="1:12">
      <c r="A10" s="28" t="s">
        <v>0</v>
      </c>
      <c r="B10" s="55">
        <f>SUM(B5:B9)</f>
        <v>166065.87137136445</v>
      </c>
      <c r="C10" s="55">
        <f>SUM(C5:C9)</f>
        <v>62584.09792237659</v>
      </c>
      <c r="D10" s="365">
        <f t="shared" si="0"/>
        <v>1</v>
      </c>
      <c r="E10" s="1"/>
      <c r="F10" s="368">
        <v>2010</v>
      </c>
      <c r="G10" s="230">
        <v>2015</v>
      </c>
      <c r="L10" s="1"/>
    </row>
    <row r="11" spans="1:12">
      <c r="A11" s="388" t="s">
        <v>209</v>
      </c>
      <c r="B11" s="388"/>
      <c r="C11" s="388"/>
      <c r="E11" s="1" t="str">
        <f>A5</f>
        <v>Obiekty publiczne</v>
      </c>
      <c r="F11" s="366">
        <f>C5</f>
        <v>426.23682345378398</v>
      </c>
      <c r="G11" s="366">
        <f>C14</f>
        <v>332.26536565504006</v>
      </c>
    </row>
    <row r="12" spans="1:12">
      <c r="A12" s="387" t="s">
        <v>69</v>
      </c>
      <c r="B12" s="191" t="s">
        <v>28</v>
      </c>
      <c r="C12" s="191" t="s">
        <v>147</v>
      </c>
      <c r="E12" s="1" t="str">
        <f t="shared" ref="E12:E14" si="4">A6</f>
        <v>Obiekty mieszkalne</v>
      </c>
      <c r="F12" s="366">
        <f t="shared" ref="F12:F15" si="5">C6</f>
        <v>31634.410211168979</v>
      </c>
      <c r="G12" s="366">
        <f t="shared" ref="G12:G15" si="6">C15</f>
        <v>27672.802437568811</v>
      </c>
    </row>
    <row r="13" spans="1:12">
      <c r="A13" s="387"/>
      <c r="B13" s="191" t="s">
        <v>34</v>
      </c>
      <c r="C13" s="191" t="s">
        <v>33</v>
      </c>
      <c r="E13" s="1" t="str">
        <f t="shared" si="4"/>
        <v>Transport</v>
      </c>
      <c r="F13" s="366">
        <f t="shared" si="5"/>
        <v>6146.4324567882777</v>
      </c>
      <c r="G13" s="366">
        <f t="shared" si="6"/>
        <v>5144.2600818019446</v>
      </c>
    </row>
    <row r="14" spans="1:12">
      <c r="A14" s="26" t="s">
        <v>70</v>
      </c>
      <c r="B14" s="27">
        <f>'Podsumowanie- Obiekty publiczne'!H9</f>
        <v>1151.2604445440002</v>
      </c>
      <c r="C14" s="27">
        <f>'Podsumowanie- Obiekty publiczne'!H17</f>
        <v>332.26536565504006</v>
      </c>
      <c r="E14" s="1" t="str">
        <f t="shared" si="4"/>
        <v>Oświetlenie</v>
      </c>
      <c r="F14" s="366">
        <f t="shared" si="5"/>
        <v>227.74391360000001</v>
      </c>
      <c r="G14" s="366">
        <f t="shared" si="6"/>
        <v>227.74391360000001</v>
      </c>
    </row>
    <row r="15" spans="1:12">
      <c r="A15" s="28" t="s">
        <v>71</v>
      </c>
      <c r="B15" s="27">
        <f>'Podsumowanie- Obiekty prywatne'!H9</f>
        <v>81493.652748475943</v>
      </c>
      <c r="C15" s="27">
        <f>'Podsumowanie- Obiekty prywatne'!H17</f>
        <v>27672.802437568811</v>
      </c>
      <c r="E15" s="1" t="str">
        <f>A9</f>
        <v>Usługi, handel, przemysł</v>
      </c>
      <c r="F15" s="366">
        <f t="shared" si="5"/>
        <v>24149.274517365553</v>
      </c>
      <c r="G15" s="366">
        <f t="shared" si="6"/>
        <v>21545.452290244924</v>
      </c>
    </row>
    <row r="16" spans="1:12">
      <c r="A16" s="28" t="s">
        <v>72</v>
      </c>
      <c r="B16" s="27">
        <f>'Prognoza transport suma'!C4</f>
        <v>20351.97697096537</v>
      </c>
      <c r="C16" s="27">
        <f>'Transport- rok kontrolny'!F62</f>
        <v>5144.2600818019446</v>
      </c>
    </row>
    <row r="17" spans="1:3">
      <c r="A17" s="28" t="s">
        <v>73</v>
      </c>
      <c r="B17" s="27">
        <f>'Owietlenie uliczne'!G10</f>
        <v>280.47280000000001</v>
      </c>
      <c r="C17" s="27">
        <f>'Owietlenie uliczne'!H10</f>
        <v>227.74391360000001</v>
      </c>
    </row>
    <row r="18" spans="1:3">
      <c r="A18" s="28" t="s">
        <v>74</v>
      </c>
      <c r="B18" s="27">
        <f>'Podsumowanie- Przedsiębiorcy'!H9</f>
        <v>71117.435269907699</v>
      </c>
      <c r="C18" s="27">
        <f>'Podsumowanie- Przedsiębiorcy'!H17</f>
        <v>21545.452290244924</v>
      </c>
    </row>
    <row r="19" spans="1:3">
      <c r="A19" s="28" t="s">
        <v>0</v>
      </c>
      <c r="B19" s="193">
        <f>SUM(B14:B18)</f>
        <v>174394.798233893</v>
      </c>
      <c r="C19" s="193">
        <f>SUM(C14:C18)</f>
        <v>54922.524088870719</v>
      </c>
    </row>
    <row r="51" spans="1:7" ht="19.8" customHeight="1">
      <c r="A51" s="231" t="str">
        <f>A2</f>
        <v>2010 rok:</v>
      </c>
    </row>
    <row r="52" spans="1:7">
      <c r="A52" s="387" t="s">
        <v>43</v>
      </c>
      <c r="B52" s="20" t="s">
        <v>28</v>
      </c>
      <c r="C52" s="20" t="s">
        <v>147</v>
      </c>
    </row>
    <row r="53" spans="1:7">
      <c r="A53" s="387"/>
      <c r="B53" s="20" t="s">
        <v>34</v>
      </c>
      <c r="C53" s="20" t="s">
        <v>33</v>
      </c>
      <c r="F53" s="230">
        <v>2010</v>
      </c>
      <c r="G53" s="230">
        <f>2015</f>
        <v>2015</v>
      </c>
    </row>
    <row r="54" spans="1:7">
      <c r="A54" s="46" t="s">
        <v>7</v>
      </c>
      <c r="B54" s="27">
        <f>'Podsumowanie- Obiekty publiczne'!C5+'Podsumowanie- Obiekty prywatne'!C5+'Podsumowanie- Przedsiębiorcy'!C5</f>
        <v>100992.63198040896</v>
      </c>
      <c r="C54" s="27">
        <f>B54*'Wskaźniki emisji 2010r'!D8</f>
        <v>41842.982545187057</v>
      </c>
      <c r="D54" s="365">
        <f>C54/$C$62</f>
        <v>0.66858809081318293</v>
      </c>
      <c r="E54" s="230" t="str">
        <f>A54</f>
        <v>Węgiel kamienny</v>
      </c>
      <c r="F54" s="366">
        <f>B54</f>
        <v>100992.63198040896</v>
      </c>
      <c r="G54" s="366">
        <f>B66</f>
        <v>106935.82487957936</v>
      </c>
    </row>
    <row r="55" spans="1:7">
      <c r="A55" s="47" t="s">
        <v>11</v>
      </c>
      <c r="B55" s="27">
        <f>'Podsumowanie- Przedsiębiorcy'!D5+'Podsumowanie- Obiekty prywatne'!D5+'Podsumowanie- Obiekty publiczne'!D5</f>
        <v>11614.302880128</v>
      </c>
      <c r="C55" s="27">
        <f>B55*'Wskaźniki emisji 2010r'!D9</f>
        <v>2855.992893254383</v>
      </c>
      <c r="D55" s="365">
        <f t="shared" ref="D55:D62" si="7">C55/$C$62</f>
        <v>4.5634482050003929E-2</v>
      </c>
      <c r="E55" s="230" t="str">
        <f t="shared" ref="E55:E61" si="8">A55</f>
        <v>Gaz ziemny</v>
      </c>
      <c r="F55" s="366">
        <f t="shared" ref="F55:F61" si="9">B55</f>
        <v>11614.302880128</v>
      </c>
      <c r="G55" s="366">
        <f t="shared" ref="G55:G61" si="10">B67</f>
        <v>11157.165073344</v>
      </c>
    </row>
    <row r="56" spans="1:7">
      <c r="A56" s="47" t="s">
        <v>10</v>
      </c>
      <c r="B56" s="27">
        <f>'Podsumowanie- Przedsiębiorcy'!E5+'Podsumowanie- Obiekty prywatne'!E5+'Podsumowanie- Obiekty publiczne'!E5</f>
        <v>18437.947441615386</v>
      </c>
      <c r="C56" s="27">
        <f>B56*'Wskaźniki emisji 2010r'!D10</f>
        <v>6220.9797116886448</v>
      </c>
      <c r="D56" s="365">
        <f t="shared" si="7"/>
        <v>9.9401923463122543E-2</v>
      </c>
      <c r="E56" s="230" t="str">
        <f t="shared" si="8"/>
        <v>Olej opałowy</v>
      </c>
      <c r="F56" s="366">
        <f t="shared" si="9"/>
        <v>18437.947441615386</v>
      </c>
      <c r="G56" s="366">
        <f t="shared" si="10"/>
        <v>20085.593808738464</v>
      </c>
    </row>
    <row r="57" spans="1:7">
      <c r="A57" s="47" t="s">
        <v>162</v>
      </c>
      <c r="B57" s="27">
        <f>'Podsumowanie- Przedsiębiorcy'!F5+'Podsumowanie- Obiekty prywatne'!F5+'Podsumowanie- Obiekty publiczne'!F5</f>
        <v>8346.765964556962</v>
      </c>
      <c r="C57" s="27">
        <f>B57*'Wskaźniki emisji 2010r'!D11</f>
        <v>0</v>
      </c>
      <c r="D57" s="365">
        <f t="shared" si="7"/>
        <v>0</v>
      </c>
      <c r="E57" s="230" t="str">
        <f t="shared" si="8"/>
        <v>Drewno opałowe</v>
      </c>
      <c r="F57" s="366">
        <f t="shared" si="9"/>
        <v>8346.765964556962</v>
      </c>
      <c r="G57" s="366">
        <f t="shared" si="10"/>
        <v>8840.7965164556954</v>
      </c>
    </row>
    <row r="58" spans="1:7">
      <c r="A58" s="47" t="s">
        <v>16</v>
      </c>
      <c r="B58" s="27">
        <f>'Podsumowanie- Przedsiębiorcy'!G5+'Podsumowanie- Obiekty prywatne'!G5+'Owietlenie uliczne'!G10+'Podsumowanie- Obiekty publiczne'!G5</f>
        <v>6795.209748101267</v>
      </c>
      <c r="C58" s="27">
        <f>B58*'Wskaźniki emisji 2010r'!D15</f>
        <v>5517.7103154582292</v>
      </c>
      <c r="D58" s="365">
        <f t="shared" si="7"/>
        <v>8.8164733512686819E-2</v>
      </c>
      <c r="E58" s="230" t="str">
        <f t="shared" si="8"/>
        <v>Energia elektryczna</v>
      </c>
      <c r="F58" s="366">
        <f t="shared" si="9"/>
        <v>6795.209748101267</v>
      </c>
      <c r="G58" s="366">
        <f t="shared" si="10"/>
        <v>7023.4409848101277</v>
      </c>
    </row>
    <row r="59" spans="1:7">
      <c r="A59" s="47" t="s">
        <v>12</v>
      </c>
      <c r="B59" s="27">
        <f>'Transport- rok bazowy '!H56</f>
        <v>1745.9548511681364</v>
      </c>
      <c r="C59" s="27">
        <f>'Transport- rok bazowy '!H60</f>
        <v>480.25295553717376</v>
      </c>
      <c r="D59" s="365">
        <f t="shared" si="7"/>
        <v>7.6737217836523614E-3</v>
      </c>
      <c r="E59" s="230" t="str">
        <f t="shared" si="8"/>
        <v>LPG</v>
      </c>
      <c r="F59" s="366">
        <f t="shared" si="9"/>
        <v>1745.9548511681364</v>
      </c>
      <c r="G59" s="366">
        <f t="shared" si="10"/>
        <v>1925.1924819209066</v>
      </c>
    </row>
    <row r="60" spans="1:7">
      <c r="A60" s="47" t="s">
        <v>8</v>
      </c>
      <c r="B60" s="33">
        <f>'Transport- rok bazowy '!H55</f>
        <v>8922.3734596368577</v>
      </c>
      <c r="C60" s="33">
        <f>'Transport- rok bazowy '!H59</f>
        <v>2882.2803779522942</v>
      </c>
      <c r="D60" s="365">
        <f t="shared" si="7"/>
        <v>4.605451662061507E-2</v>
      </c>
      <c r="E60" s="230" t="str">
        <f t="shared" si="8"/>
        <v>Olej napędowy</v>
      </c>
      <c r="F60" s="366">
        <f t="shared" si="9"/>
        <v>8922.3734596368577</v>
      </c>
      <c r="G60" s="366">
        <f t="shared" si="10"/>
        <v>8578.2500624272361</v>
      </c>
    </row>
    <row r="61" spans="1:7">
      <c r="A61" s="47" t="s">
        <v>44</v>
      </c>
      <c r="B61" s="33">
        <f>'Transport- rok bazowy '!H54</f>
        <v>9210.685045748869</v>
      </c>
      <c r="C61" s="33">
        <f>'Transport- rok bazowy '!H58</f>
        <v>2783.8991232988096</v>
      </c>
      <c r="D61" s="365">
        <f t="shared" si="7"/>
        <v>4.4482531756736277E-2</v>
      </c>
      <c r="E61" s="230" t="str">
        <f t="shared" si="8"/>
        <v>Benzyna</v>
      </c>
      <c r="F61" s="366">
        <f t="shared" si="9"/>
        <v>9210.685045748869</v>
      </c>
      <c r="G61" s="366">
        <f t="shared" si="10"/>
        <v>9848.5344266172287</v>
      </c>
    </row>
    <row r="62" spans="1:7">
      <c r="A62" s="47" t="s">
        <v>0</v>
      </c>
      <c r="B62" s="55">
        <f>SUM(B54:B61)</f>
        <v>166065.87137136442</v>
      </c>
      <c r="C62" s="55">
        <f>SUM(C54:C61)</f>
        <v>62584.097922376597</v>
      </c>
      <c r="D62" s="365">
        <f t="shared" si="7"/>
        <v>1</v>
      </c>
    </row>
    <row r="63" spans="1:7">
      <c r="A63" s="231" t="str">
        <f>A11</f>
        <v>2015 rok:</v>
      </c>
      <c r="B63" s="232"/>
      <c r="C63" s="232"/>
    </row>
    <row r="64" spans="1:7">
      <c r="A64" s="387" t="s">
        <v>43</v>
      </c>
      <c r="B64" s="191" t="s">
        <v>28</v>
      </c>
      <c r="C64" s="191" t="s">
        <v>147</v>
      </c>
    </row>
    <row r="65" spans="1:7">
      <c r="A65" s="387"/>
      <c r="B65" s="191" t="s">
        <v>34</v>
      </c>
      <c r="C65" s="191" t="s">
        <v>33</v>
      </c>
      <c r="F65" s="230">
        <f>F53</f>
        <v>2010</v>
      </c>
      <c r="G65" s="230">
        <f>G53</f>
        <v>2015</v>
      </c>
    </row>
    <row r="66" spans="1:7">
      <c r="A66" s="46" t="s">
        <v>7</v>
      </c>
      <c r="B66" s="27">
        <f>'Podsumowanie- Przedsiębiorcy'!C9+'Podsumowanie- Obiekty prywatne'!C9+'Podsumowanie- Obiekty publiczne'!C9</f>
        <v>106935.82487957936</v>
      </c>
      <c r="C66" s="27">
        <f>B66*'Wskaźniki emisji 2015r'!D8</f>
        <v>36273.24947900822</v>
      </c>
      <c r="D66" s="367">
        <f>B66/$B$74</f>
        <v>0.61318242265552136</v>
      </c>
      <c r="E66" s="366" t="str">
        <f>E54</f>
        <v>Węgiel kamienny</v>
      </c>
      <c r="F66" s="366">
        <f>C54</f>
        <v>41842.982545187057</v>
      </c>
      <c r="G66" s="366">
        <f>C66</f>
        <v>36273.24947900822</v>
      </c>
    </row>
    <row r="67" spans="1:7">
      <c r="A67" s="47" t="s">
        <v>11</v>
      </c>
      <c r="B67" s="27">
        <f>'Podsumowanie- Przedsiębiorcy'!D9+'Podsumowanie- Obiekty prywatne'!D9+'Podsumowanie- Obiekty publiczne'!D9</f>
        <v>11157.165073344</v>
      </c>
      <c r="C67" s="27">
        <f>B67*'Wskaźniki emisji 2015r'!D9</f>
        <v>2248.35001586304</v>
      </c>
      <c r="D67" s="367">
        <f t="shared" ref="D67:D74" si="11">B67/$B$74</f>
        <v>6.3976478578107288E-2</v>
      </c>
      <c r="E67" s="366" t="str">
        <f t="shared" ref="E67:E73" si="12">E55</f>
        <v>Gaz ziemny</v>
      </c>
      <c r="F67" s="366">
        <f t="shared" ref="F67:F73" si="13">C55</f>
        <v>2855.992893254383</v>
      </c>
      <c r="G67" s="366">
        <f t="shared" ref="G67:G73" si="14">C67</f>
        <v>2248.35001586304</v>
      </c>
    </row>
    <row r="68" spans="1:7">
      <c r="A68" s="47" t="s">
        <v>10</v>
      </c>
      <c r="B68" s="27">
        <f>'Podsumowanie- Przedsiębiorcy'!E9+'Podsumowanie- Obiekty prywatne'!E9+'Podsumowanie- Obiekty publiczne'!E9</f>
        <v>20085.593808738464</v>
      </c>
      <c r="C68" s="27">
        <f>B68*'Wskaźniki emisji 2015r'!D10</f>
        <v>5553.6304325316933</v>
      </c>
      <c r="D68" s="367">
        <f t="shared" si="11"/>
        <v>0.1151731244976715</v>
      </c>
      <c r="E68" s="366" t="str">
        <f t="shared" si="12"/>
        <v>Olej opałowy</v>
      </c>
      <c r="F68" s="366">
        <f t="shared" si="13"/>
        <v>6220.9797116886448</v>
      </c>
      <c r="G68" s="366">
        <f t="shared" si="14"/>
        <v>5553.6304325316933</v>
      </c>
    </row>
    <row r="69" spans="1:7">
      <c r="A69" s="47" t="str">
        <f>A57</f>
        <v>Drewno opałowe</v>
      </c>
      <c r="B69" s="27">
        <f>'Podsumowanie- Przedsiębiorcy'!F9+'Podsumowanie- Obiekty prywatne'!F9+'Podsumowanie- Obiekty publiczne'!F9</f>
        <v>8840.7965164556954</v>
      </c>
      <c r="C69" s="27">
        <f>B69*'Wskaźniki emisji 2015r'!D11</f>
        <v>0</v>
      </c>
      <c r="D69" s="367">
        <f t="shared" si="11"/>
        <v>5.0694152612273939E-2</v>
      </c>
      <c r="E69" s="366" t="str">
        <f t="shared" si="12"/>
        <v>Drewno opałowe</v>
      </c>
      <c r="F69" s="366">
        <f t="shared" si="13"/>
        <v>0</v>
      </c>
      <c r="G69" s="366">
        <f t="shared" si="14"/>
        <v>0</v>
      </c>
    </row>
    <row r="70" spans="1:7">
      <c r="A70" s="47" t="s">
        <v>16</v>
      </c>
      <c r="B70" s="27">
        <f>'Podsumowanie- Przedsiębiorcy'!G9+'Podsumowanie- Obiekty prywatne'!G9+'Owietlenie uliczne'!G10+'Podsumowanie- Obiekty publiczne'!G9</f>
        <v>7023.4409848101277</v>
      </c>
      <c r="C70" s="27">
        <f>B70*'Wskaźniki emisji 2015r'!D15</f>
        <v>5703.0340796658238</v>
      </c>
      <c r="D70" s="367">
        <f t="shared" si="11"/>
        <v>4.0273225210481912E-2</v>
      </c>
      <c r="E70" s="366" t="str">
        <f t="shared" si="12"/>
        <v>Energia elektryczna</v>
      </c>
      <c r="F70" s="366">
        <f t="shared" si="13"/>
        <v>5517.7103154582292</v>
      </c>
      <c r="G70" s="366">
        <f t="shared" si="14"/>
        <v>5703.0340796658238</v>
      </c>
    </row>
    <row r="71" spans="1:7">
      <c r="A71" s="47" t="s">
        <v>12</v>
      </c>
      <c r="B71" s="27">
        <f>'Transport- rok kontrolny'!H56</f>
        <v>1925.1924819209066</v>
      </c>
      <c r="C71" s="27">
        <f>B71*'Wskaźniki emisji 2015r'!D14</f>
        <v>433.96757606910256</v>
      </c>
      <c r="D71" s="367">
        <f t="shared" si="11"/>
        <v>1.1039276981982551E-2</v>
      </c>
      <c r="E71" s="366" t="str">
        <f t="shared" si="12"/>
        <v>LPG</v>
      </c>
      <c r="F71" s="366">
        <f t="shared" si="13"/>
        <v>480.25295553717376</v>
      </c>
      <c r="G71" s="366">
        <f t="shared" si="14"/>
        <v>433.96757606910256</v>
      </c>
    </row>
    <row r="72" spans="1:7">
      <c r="A72" s="47" t="s">
        <v>8</v>
      </c>
      <c r="B72" s="33">
        <f>'Transport- rok kontrolny'!H55</f>
        <v>8578.2500624272361</v>
      </c>
      <c r="C72" s="33">
        <f>B72*'Wskaźniki emisji 2015r'!D12</f>
        <v>2270.9136356598888</v>
      </c>
      <c r="D72" s="367">
        <f t="shared" si="11"/>
        <v>4.9188680793806401E-2</v>
      </c>
      <c r="E72" s="366" t="str">
        <f t="shared" si="12"/>
        <v>Olej napędowy</v>
      </c>
      <c r="F72" s="366">
        <f t="shared" si="13"/>
        <v>2882.2803779522942</v>
      </c>
      <c r="G72" s="366">
        <f t="shared" si="14"/>
        <v>2270.9136356598888</v>
      </c>
    </row>
    <row r="73" spans="1:7">
      <c r="A73" s="47" t="s">
        <v>44</v>
      </c>
      <c r="B73" s="33">
        <f>'Transport- rok kontrolny'!H54</f>
        <v>9848.5344266172287</v>
      </c>
      <c r="C73" s="33">
        <f>B73*'Wskaźniki emisji 2015r'!D13</f>
        <v>2439.3788700729533</v>
      </c>
      <c r="D73" s="367">
        <f t="shared" si="11"/>
        <v>5.6472638670155013E-2</v>
      </c>
      <c r="E73" s="366" t="str">
        <f t="shared" si="12"/>
        <v>Benzyna</v>
      </c>
      <c r="F73" s="366">
        <f t="shared" si="13"/>
        <v>2783.8991232988096</v>
      </c>
      <c r="G73" s="366">
        <f t="shared" si="14"/>
        <v>2439.3788700729533</v>
      </c>
    </row>
    <row r="74" spans="1:7">
      <c r="A74" s="47" t="s">
        <v>0</v>
      </c>
      <c r="B74" s="193">
        <f>SUM(B66:B73)</f>
        <v>174394.79823389303</v>
      </c>
      <c r="C74" s="193">
        <f>SUM(C66:C73)</f>
        <v>54922.524088870727</v>
      </c>
      <c r="D74" s="367">
        <f t="shared" si="11"/>
        <v>1</v>
      </c>
    </row>
    <row r="75" spans="1:7">
      <c r="B75" s="232"/>
      <c r="C75" s="232"/>
    </row>
  </sheetData>
  <mergeCells count="6">
    <mergeCell ref="A64:A65"/>
    <mergeCell ref="A3:A4"/>
    <mergeCell ref="A52:A53"/>
    <mergeCell ref="A2:C2"/>
    <mergeCell ref="A11:C11"/>
    <mergeCell ref="A12:A13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50" max="2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view="pageBreakPreview" topLeftCell="A7" zoomScale="70" zoomScaleNormal="100" zoomScaleSheetLayoutView="70" workbookViewId="0">
      <selection sqref="A1:M17"/>
    </sheetView>
  </sheetViews>
  <sheetFormatPr defaultRowHeight="14.4"/>
  <cols>
    <col min="1" max="1" width="8.44140625" style="25" customWidth="1"/>
    <col min="2" max="2" width="43.21875" style="24" customWidth="1"/>
    <col min="3" max="3" width="17.33203125" style="25" customWidth="1"/>
    <col min="4" max="4" width="13.77734375" style="25" customWidth="1"/>
    <col min="5" max="5" width="18.88671875" style="25" customWidth="1"/>
    <col min="6" max="6" width="17.6640625" style="25" customWidth="1"/>
    <col min="7" max="7" width="19" style="25" customWidth="1"/>
    <col min="8" max="12" width="11.44140625" style="297" customWidth="1"/>
    <col min="13" max="13" width="37.33203125" customWidth="1"/>
  </cols>
  <sheetData>
    <row r="1" spans="1:13" ht="28.8">
      <c r="A1" s="447" t="s">
        <v>69</v>
      </c>
      <c r="B1" s="447" t="s">
        <v>75</v>
      </c>
      <c r="C1" s="447" t="s">
        <v>76</v>
      </c>
      <c r="D1" s="447" t="s">
        <v>77</v>
      </c>
      <c r="E1" s="52" t="s">
        <v>78</v>
      </c>
      <c r="F1" s="52" t="s">
        <v>109</v>
      </c>
      <c r="G1" s="52" t="s">
        <v>79</v>
      </c>
      <c r="H1" s="294" t="s">
        <v>259</v>
      </c>
      <c r="I1" s="294" t="s">
        <v>260</v>
      </c>
      <c r="J1" s="294" t="s">
        <v>261</v>
      </c>
      <c r="K1" s="294" t="s">
        <v>262</v>
      </c>
      <c r="L1" s="294" t="s">
        <v>263</v>
      </c>
      <c r="M1" s="500" t="s">
        <v>364</v>
      </c>
    </row>
    <row r="2" spans="1:13" ht="15">
      <c r="A2" s="447"/>
      <c r="B2" s="447"/>
      <c r="C2" s="447"/>
      <c r="D2" s="447"/>
      <c r="E2" s="52" t="s">
        <v>80</v>
      </c>
      <c r="F2" s="52" t="s">
        <v>110</v>
      </c>
      <c r="G2" s="137" t="s">
        <v>81</v>
      </c>
      <c r="H2" s="294" t="s">
        <v>252</v>
      </c>
      <c r="I2" s="294" t="s">
        <v>252</v>
      </c>
      <c r="J2" s="294" t="s">
        <v>252</v>
      </c>
      <c r="K2" s="294" t="s">
        <v>252</v>
      </c>
      <c r="L2" s="294" t="s">
        <v>252</v>
      </c>
      <c r="M2" s="500"/>
    </row>
    <row r="3" spans="1:13" ht="283.2" customHeight="1">
      <c r="A3" s="448" t="s">
        <v>70</v>
      </c>
      <c r="B3" s="134" t="s">
        <v>215</v>
      </c>
      <c r="C3" s="123" t="s">
        <v>145</v>
      </c>
      <c r="D3" s="123" t="s">
        <v>214</v>
      </c>
      <c r="E3" s="148">
        <f>0.01*Podsumowanie!B5</f>
        <v>13.25989235328</v>
      </c>
      <c r="F3" s="148">
        <f>Podsumowanie!C5*0.01</f>
        <v>4.2623682345378402</v>
      </c>
      <c r="G3" s="138">
        <v>0</v>
      </c>
      <c r="H3" s="295">
        <f>($E$3/Podsumowanie!$B$5)*'Prognoza emisji innych gazów'!C4</f>
        <v>1.7766314001792001E-5</v>
      </c>
      <c r="I3" s="295">
        <f>($E$3/Podsumowanie!$B$5)*'Prognoza emisji innych gazów'!C15</f>
        <v>1.7766314001792001E-5</v>
      </c>
      <c r="J3" s="295">
        <f>($E$3/Podsumowanie!$B$5)*'Prognoza emisji innych gazów'!C26</f>
        <v>1.7766314001792001E-5</v>
      </c>
      <c r="K3" s="295">
        <f>($E$3/Podsumowanie!$B$5)*'Prognoza emisji innych gazów'!C37</f>
        <v>1.7766314001792E-3</v>
      </c>
      <c r="L3" s="295">
        <f>($E$3/Podsumowanie!$B$5)*'Prognoza emisji innych gazów'!C48</f>
        <v>0</v>
      </c>
      <c r="M3" s="499" t="s">
        <v>353</v>
      </c>
    </row>
    <row r="4" spans="1:13" ht="111" customHeight="1">
      <c r="A4" s="449"/>
      <c r="B4" s="202" t="s">
        <v>343</v>
      </c>
      <c r="C4" s="202" t="str">
        <f>C3</f>
        <v xml:space="preserve">Urząd Gminy </v>
      </c>
      <c r="D4" s="202" t="str">
        <f>D3</f>
        <v>2016-2020</v>
      </c>
      <c r="E4" s="148">
        <v>0</v>
      </c>
      <c r="F4" s="148">
        <v>0</v>
      </c>
      <c r="G4" s="138">
        <v>0</v>
      </c>
      <c r="H4" s="295">
        <v>0</v>
      </c>
      <c r="I4" s="295">
        <v>0</v>
      </c>
      <c r="J4" s="295">
        <v>0</v>
      </c>
      <c r="K4" s="295">
        <v>0</v>
      </c>
      <c r="L4" s="295">
        <v>0</v>
      </c>
      <c r="M4" s="499" t="s">
        <v>354</v>
      </c>
    </row>
    <row r="5" spans="1:13" ht="82.8" customHeight="1">
      <c r="A5" s="449"/>
      <c r="B5" s="202" t="s">
        <v>346</v>
      </c>
      <c r="C5" s="202" t="str">
        <f t="shared" ref="C5:C9" si="0">C4</f>
        <v xml:space="preserve">Urząd Gminy </v>
      </c>
      <c r="D5" s="202" t="s">
        <v>350</v>
      </c>
      <c r="E5" s="148">
        <f>0.3*'Obiekty publiczne 2015r'!J3</f>
        <v>16.341922137600001</v>
      </c>
      <c r="F5" s="148">
        <f>0.3*'Obiekty publiczne 2010r'!L3</f>
        <v>6.7048054550662206</v>
      </c>
      <c r="G5" s="138">
        <v>250000</v>
      </c>
      <c r="H5" s="295">
        <f>E5*'Emisja pozostałych pyłów,gazów'!$E$4*3.6/1000000</f>
        <v>2.941545984768E-5</v>
      </c>
      <c r="I5" s="295">
        <f>E5*3.6*0.001*0.001*'Emisja pozostałych pyłów,gazów'!$E$5</f>
        <v>2.941545984768E-5</v>
      </c>
      <c r="J5" s="295">
        <f>E5*3.6*0.001*0.001*'Emisja pozostałych pyłów,gazów'!$E$7</f>
        <v>2.941545984768E-5</v>
      </c>
      <c r="K5" s="295">
        <f>E5*3.6*0.001*0.001*'Emisja pozostałych pyłów,gazów'!$E$8</f>
        <v>2.9415459847680001E-3</v>
      </c>
      <c r="L5" s="295">
        <f>E5*3.6*0.001*0.001*0.001*'Emisja pozostałych pyłów,gazów'!$E$6</f>
        <v>0</v>
      </c>
      <c r="M5" s="499" t="s">
        <v>355</v>
      </c>
    </row>
    <row r="6" spans="1:13" ht="82.8" customHeight="1">
      <c r="A6" s="449"/>
      <c r="B6" s="202" t="s">
        <v>347</v>
      </c>
      <c r="C6" s="202" t="str">
        <f t="shared" si="0"/>
        <v xml:space="preserve">Urząd Gminy </v>
      </c>
      <c r="D6" s="202" t="s">
        <v>350</v>
      </c>
      <c r="E6" s="148">
        <f>0.3*'Przedsiębiorcy 2015 r.'!G9+0.3*'Obiekty publiczne 2015r'!J5</f>
        <v>78.373825113600006</v>
      </c>
      <c r="F6" s="148">
        <f>0.3*'Obiekty publiczne 2015r'!L5+0.3*'Przedsiębiorcy 2015 r.'!I9</f>
        <v>15.793598981376</v>
      </c>
      <c r="G6" s="138">
        <v>800000</v>
      </c>
      <c r="H6" s="295">
        <f>E6*'Emisja pozostałych pyłów,gazów'!$E$4*3.6/1000000</f>
        <v>1.4107288520448001E-4</v>
      </c>
      <c r="I6" s="295">
        <f>E6*3.6*0.001*0.001*'Emisja pozostałych pyłów,gazów'!$E$5</f>
        <v>1.4107288520448001E-4</v>
      </c>
      <c r="J6" s="295">
        <f>E6*3.6*0.001*0.001*'Emisja pozostałych pyłów,gazów'!$E$7</f>
        <v>1.4107288520448001E-4</v>
      </c>
      <c r="K6" s="295">
        <f>E6*3.6*0.001*0.001*'Emisja pozostałych pyłów,gazów'!$E$8</f>
        <v>1.4107288520448001E-2</v>
      </c>
      <c r="L6" s="295">
        <f>E6*3.6*0.001*0.001*0.001*'Emisja pozostałych pyłów,gazów'!$E$6</f>
        <v>0</v>
      </c>
      <c r="M6" s="499" t="s">
        <v>355</v>
      </c>
    </row>
    <row r="7" spans="1:13" ht="82.8" customHeight="1">
      <c r="A7" s="449"/>
      <c r="B7" s="202" t="s">
        <v>348</v>
      </c>
      <c r="C7" s="202" t="str">
        <f t="shared" si="0"/>
        <v xml:space="preserve">Urząd Gminy </v>
      </c>
      <c r="D7" s="202" t="s">
        <v>350</v>
      </c>
      <c r="E7" s="148">
        <f>0.3*'Obiekty publiczne 2015r'!J10</f>
        <v>5.14076544</v>
      </c>
      <c r="F7" s="148">
        <f>0.3*'Obiekty publiczne 2015r'!L10</f>
        <v>1.0359477503999999</v>
      </c>
      <c r="G7" s="138">
        <v>800000</v>
      </c>
      <c r="H7" s="295">
        <f>E7*'Emisja pozostałych pyłów,gazów'!$E$4*3.6/1000000</f>
        <v>9.253377792000001E-6</v>
      </c>
      <c r="I7" s="295">
        <f>E7*3.6*0.001*0.001*'Emisja pozostałych pyłów,gazów'!$E$5</f>
        <v>9.253377792000001E-6</v>
      </c>
      <c r="J7" s="295">
        <f>E7*3.6*0.001*0.001*'Emisja pozostałych pyłów,gazów'!$E$7</f>
        <v>9.253377792000001E-6</v>
      </c>
      <c r="K7" s="295">
        <f>E7*3.6*0.001*0.001*'Emisja pozostałych pyłów,gazów'!$E$8</f>
        <v>9.2533777920000013E-4</v>
      </c>
      <c r="L7" s="295">
        <f>E7*3.6*0.001*0.001*0.001*'Emisja pozostałych pyłów,gazów'!$E$6</f>
        <v>0</v>
      </c>
      <c r="M7" s="499" t="s">
        <v>355</v>
      </c>
    </row>
    <row r="8" spans="1:13" ht="82.8" customHeight="1">
      <c r="A8" s="497"/>
      <c r="B8" s="202" t="s">
        <v>349</v>
      </c>
      <c r="C8" s="202" t="str">
        <f t="shared" si="0"/>
        <v xml:space="preserve">Urząd Gminy </v>
      </c>
      <c r="D8" s="202" t="s">
        <v>350</v>
      </c>
      <c r="E8" s="148">
        <f>0.3*'Obiekty publiczne 2015r'!J8</f>
        <v>134.59666314240002</v>
      </c>
      <c r="F8" s="148">
        <f>0.3*'Obiekty publiczne 2015r'!L8</f>
        <v>27.123414211584002</v>
      </c>
      <c r="G8" s="138">
        <v>400000</v>
      </c>
      <c r="H8" s="295">
        <f>E8*'Emisja pozostałych pyłów,gazów'!$E$4*3.6/1000000</f>
        <v>2.4227399365632006E-4</v>
      </c>
      <c r="I8" s="295">
        <f>E8*3.6*0.001*0.001*'Emisja pozostałych pyłów,gazów'!$E$5</f>
        <v>2.4227399365632006E-4</v>
      </c>
      <c r="J8" s="295">
        <f>E8*3.6*0.001*0.001*'Emisja pozostałych pyłów,gazów'!$E$7</f>
        <v>2.4227399365632006E-4</v>
      </c>
      <c r="K8" s="295">
        <f>E8*3.6*0.001*0.001*'Emisja pozostałych pyłów,gazów'!$E$8</f>
        <v>2.4227399365632004E-2</v>
      </c>
      <c r="L8" s="295">
        <f>E8*3.6*0.001*0.001*0.001*'Emisja pozostałych pyłów,gazów'!$E$6</f>
        <v>0</v>
      </c>
      <c r="M8" s="499" t="s">
        <v>355</v>
      </c>
    </row>
    <row r="9" spans="1:13" ht="82.8" customHeight="1">
      <c r="A9" s="498" t="s">
        <v>73</v>
      </c>
      <c r="B9" s="202" t="s">
        <v>351</v>
      </c>
      <c r="C9" s="202" t="str">
        <f t="shared" si="0"/>
        <v xml:space="preserve">Urząd Gminy </v>
      </c>
      <c r="D9" s="202" t="s">
        <v>352</v>
      </c>
      <c r="E9" s="148">
        <f>0.45*'Owietlenie uliczne'!G9</f>
        <v>126.21276</v>
      </c>
      <c r="F9" s="148">
        <f>0.45*'Owietlenie uliczne'!H9</f>
        <v>102.48476112</v>
      </c>
      <c r="G9" s="138">
        <v>2000000</v>
      </c>
      <c r="H9" s="295">
        <v>0</v>
      </c>
      <c r="I9" s="295">
        <v>0</v>
      </c>
      <c r="J9" s="295">
        <v>0</v>
      </c>
      <c r="K9" s="295">
        <v>0</v>
      </c>
      <c r="L9" s="295">
        <v>0</v>
      </c>
      <c r="M9" s="499" t="s">
        <v>357</v>
      </c>
    </row>
    <row r="10" spans="1:13" ht="41.4" customHeight="1">
      <c r="A10" s="233" t="s">
        <v>140</v>
      </c>
      <c r="B10" s="202" t="s">
        <v>216</v>
      </c>
      <c r="C10" s="202" t="str">
        <f>C4</f>
        <v xml:space="preserve">Urząd Gminy </v>
      </c>
      <c r="D10" s="202" t="str">
        <f>D4</f>
        <v>2016-2020</v>
      </c>
      <c r="E10" s="148">
        <f>0.05*Podsumowanie!B7</f>
        <v>993.95066782769322</v>
      </c>
      <c r="F10" s="148">
        <f>0.05*Podsumowanie!C7</f>
        <v>307.32162283941392</v>
      </c>
      <c r="G10" s="138">
        <v>800000</v>
      </c>
      <c r="H10" s="295">
        <f>($E$10/'Prognozy podsumowanie'!$C$6)*'Prognoza emisji innych gazów'!C6</f>
        <v>9.0665256795827674E-3</v>
      </c>
      <c r="I10" s="295">
        <f>($E$10/'Prognozy podsumowanie'!$C$6)*'Prognoza emisji innych gazów'!C17</f>
        <v>9.0665256795827674E-3</v>
      </c>
      <c r="J10" s="295">
        <f>($E$10/'Prognozy podsumowanie'!$C$6)*'Prognoza emisji innych gazów'!C28</f>
        <v>3.2397409445654587E-4</v>
      </c>
      <c r="K10" s="295">
        <f>($E$10/'Prognozy podsumowanie'!$C$6)*'Prognoza emisji innych gazów'!C39</f>
        <v>0.13093253068942109</v>
      </c>
      <c r="L10" s="295">
        <f>($E$10/'Prognozy podsumowanie'!$C$6)*'Prognoza emisji innych gazów'!C50</f>
        <v>4.6646337898168422E-4</v>
      </c>
      <c r="M10" s="499" t="s">
        <v>356</v>
      </c>
    </row>
    <row r="11" spans="1:13" ht="48" customHeight="1">
      <c r="A11" s="448" t="s">
        <v>200</v>
      </c>
      <c r="B11" s="134" t="s">
        <v>210</v>
      </c>
      <c r="C11" s="80" t="str">
        <f>C14</f>
        <v>Inwestorzy prywatni</v>
      </c>
      <c r="D11" s="80" t="str">
        <f>D4</f>
        <v>2016-2020</v>
      </c>
      <c r="E11" s="148">
        <f>('Podsumowanie- Obiekty prywatne'!H9-'Podsumowanie- Obiekty prywatne'!G9)*6/79</f>
        <v>5761.6300225568975</v>
      </c>
      <c r="F11" s="148">
        <f>('Podsumowanie- Obiekty prywatne'!H17-'Podsumowanie- Obiekty prywatne'!G17)*9/102</f>
        <v>2038.1879576737929</v>
      </c>
      <c r="G11" s="91" t="s">
        <v>217</v>
      </c>
      <c r="H11" s="295">
        <f>($E$11/('Podsumowanie- Obiekty prywatne'!$H$9-'Podsumowanie- Obiekty prywatne'!$G$9))*'Prognoza emisji innych gazów'!C5</f>
        <v>4.6566966970423271</v>
      </c>
      <c r="I11" s="295">
        <f>($E$11/('Podsumowanie- Obiekty prywatne'!$H$9-'Podsumowanie- Obiekty prywatne'!$G$9))*'Prognoza emisji innych gazów'!C16</f>
        <v>4.2194019073066311</v>
      </c>
      <c r="J11" s="295">
        <f>($E$11/('Podsumowanie- Obiekty prywatne'!$H$9-'Podsumowanie- Obiekty prywatne'!$G$9))*'Prognoza emisji innych gazów'!C27</f>
        <v>15.875218801423959</v>
      </c>
      <c r="K11" s="295">
        <f>($E$11/('Podsumowanie- Obiekty prywatne'!$H$9-'Podsumowanie- Obiekty prywatne'!$G$9))*'Prognoza emisji innych gazów'!C38</f>
        <v>2.983319280957816</v>
      </c>
      <c r="L11" s="295">
        <f>($E$11/('Podsumowanie- Obiekty prywatne'!$H$9-'Podsumowanie- Obiekty prywatne'!$G$9))*'Prognoza emisji innych gazów'!C49</f>
        <v>0.17900302173968635</v>
      </c>
      <c r="M11" s="499" t="s">
        <v>358</v>
      </c>
    </row>
    <row r="12" spans="1:13" ht="48" customHeight="1">
      <c r="A12" s="449"/>
      <c r="B12" s="202" t="s">
        <v>212</v>
      </c>
      <c r="C12" s="202" t="str">
        <f t="shared" ref="C12:C13" si="1">C15</f>
        <v>Inwestorzy prywatni</v>
      </c>
      <c r="D12" s="202" t="str">
        <f t="shared" ref="D12:D14" si="2">D11</f>
        <v>2016-2020</v>
      </c>
      <c r="E12" s="148">
        <f>('Podsumowanie- Obiekty prywatne'!G9)*3/79</f>
        <v>213.88066271430864</v>
      </c>
      <c r="F12" s="148">
        <f>E12*'Wskaźniki emisji 2015r'!D15</f>
        <v>173.67109812401864</v>
      </c>
      <c r="G12" s="91" t="s">
        <v>217</v>
      </c>
      <c r="H12" s="295">
        <f>($E$12/'Podsumowanie- Obiekty prywatne'!$G$9)*0</f>
        <v>0</v>
      </c>
      <c r="I12" s="295">
        <f>($E$12/'Podsumowanie- Obiekty prywatne'!$G$9)*0</f>
        <v>0</v>
      </c>
      <c r="J12" s="295">
        <f>($E$12/'Podsumowanie- Obiekty prywatne'!$G$9)*0</f>
        <v>0</v>
      </c>
      <c r="K12" s="295">
        <f>($E$12/'Podsumowanie- Obiekty prywatne'!$G$9)*0</f>
        <v>0</v>
      </c>
      <c r="L12" s="295">
        <f>($E$12/'Podsumowanie- Obiekty prywatne'!$G$9)*0</f>
        <v>0</v>
      </c>
      <c r="M12" s="499" t="s">
        <v>359</v>
      </c>
    </row>
    <row r="13" spans="1:13" ht="48" customHeight="1">
      <c r="A13" s="449"/>
      <c r="B13" s="202" t="s">
        <v>213</v>
      </c>
      <c r="C13" s="202" t="str">
        <f t="shared" si="1"/>
        <v>Inwestorzy prywatni</v>
      </c>
      <c r="D13" s="202" t="str">
        <f t="shared" si="2"/>
        <v>2016-2020</v>
      </c>
      <c r="E13" s="148">
        <f>(E11*102/9)*1/79</f>
        <v>826.56295682250857</v>
      </c>
      <c r="F13" s="148">
        <f>(F11*102/9)*2/102</f>
        <v>452.93065726084285</v>
      </c>
      <c r="G13" s="91" t="s">
        <v>217</v>
      </c>
      <c r="H13" s="295">
        <f>($E$13/('Podsumowanie- Obiekty prywatne'!$H$9-'Podsumowanie- Obiekty prywatne'!$G$9))*'Prognoza emisji innych gazów'!$C$5</f>
        <v>0.66804931518750688</v>
      </c>
      <c r="I13" s="295">
        <f>($E$13/('Podsumowanie- Obiekty prywatne'!$H$9-'Podsumowanie- Obiekty prywatne'!$G$9))*'Prognoza emisji innych gazów'!$C$16</f>
        <v>0.60531504155453775</v>
      </c>
      <c r="J13" s="295">
        <f>($E$13/('Podsumowanie- Obiekty prywatne'!$H$9-'Podsumowanie- Obiekty prywatne'!$G$9))*'Prognoza emisji innych gazów'!$C$27</f>
        <v>2.2774575495713698</v>
      </c>
      <c r="K13" s="295">
        <f>($E$13/('Podsumowanie- Obiekty prywatne'!$H$9-'Podsumowanie- Obiekty prywatne'!$G$9))*'Prognoza emisji innych gazów'!$C$38</f>
        <v>0.42798673228930695</v>
      </c>
      <c r="L13" s="295">
        <f>($E$13/('Podsumowanie- Obiekty prywatne'!$H$9-'Podsumowanie- Obiekty prywatne'!$G$9))*'Prognoza emisji innych gazów'!$C$49</f>
        <v>2.5679758393035174E-2</v>
      </c>
      <c r="M13" s="499" t="s">
        <v>360</v>
      </c>
    </row>
    <row r="14" spans="1:13" ht="48" customHeight="1">
      <c r="A14" s="449"/>
      <c r="B14" s="147" t="s">
        <v>211</v>
      </c>
      <c r="C14" s="147" t="s">
        <v>152</v>
      </c>
      <c r="D14" s="202" t="str">
        <f t="shared" si="2"/>
        <v>2016-2020</v>
      </c>
      <c r="E14" s="148">
        <f>(24/79)*('Podsumowanie- Obiekty prywatne'!H9-'Podsumowanie- Obiekty prywatne'!G9)</f>
        <v>23046.52009022759</v>
      </c>
      <c r="F14" s="148">
        <f>('Podsumowanie- Obiekty prywatne'!H17-'Podsumowanie- Obiekty prywatne'!G17)*28/102</f>
        <v>6341.0292016517997</v>
      </c>
      <c r="G14" s="91" t="s">
        <v>217</v>
      </c>
      <c r="H14" s="295">
        <f>($E$14/('Podsumowanie- Obiekty prywatne'!$H$9-'Podsumowanie- Obiekty prywatne'!$G$9))*'Prognoza emisji innych gazów'!$C$5</f>
        <v>18.626786788169309</v>
      </c>
      <c r="I14" s="295">
        <f>(E14/('Podsumowanie- Obiekty prywatne'!$H$9-'Podsumowanie- Obiekty prywatne'!$G$9))*'Prognoza emisji innych gazów'!$C$16</f>
        <v>16.877607629226524</v>
      </c>
      <c r="J14" s="295">
        <f>(E14/('Podsumowanie- Obiekty prywatne'!$H$9-'Podsumowanie- Obiekty prywatne'!$G$9))*'Prognoza emisji innych gazów'!$C$27</f>
        <v>63.500875205695834</v>
      </c>
      <c r="K14" s="295">
        <f>(E14/('Podsumowanie- Obiekty prywatne'!$H$9-'Podsumowanie- Obiekty prywatne'!$G$9))*'Prognoza emisji innych gazów'!$C$38</f>
        <v>11.933277123831264</v>
      </c>
      <c r="L14" s="295">
        <f>(E14/('Podsumowanie- Obiekty prywatne'!$H$9-'Podsumowanie- Obiekty prywatne'!$G$9))*'Prognoza emisji innych gazów'!$C$49</f>
        <v>0.71601208695874541</v>
      </c>
      <c r="M14" s="499" t="s">
        <v>361</v>
      </c>
    </row>
    <row r="15" spans="1:13" ht="49.8" customHeight="1">
      <c r="A15" s="450" t="s">
        <v>340</v>
      </c>
      <c r="B15" s="147" t="s">
        <v>153</v>
      </c>
      <c r="C15" s="147" t="str">
        <f>C14</f>
        <v>Inwestorzy prywatni</v>
      </c>
      <c r="D15" s="202" t="str">
        <f>D14</f>
        <v>2016-2020</v>
      </c>
      <c r="E15" s="148">
        <f>0.05*'Podsumowanie- Przedsiębiorcy'!G17</f>
        <v>38.429296640000004</v>
      </c>
      <c r="F15" s="148">
        <f>E15*'Wskaźniki emisji 2015r'!D15</f>
        <v>31.204588871680006</v>
      </c>
      <c r="G15" s="91" t="str">
        <f>G14</f>
        <v>środki prywatne</v>
      </c>
      <c r="H15" s="295">
        <v>0</v>
      </c>
      <c r="I15" s="295">
        <v>0</v>
      </c>
      <c r="J15" s="295">
        <v>0</v>
      </c>
      <c r="K15" s="295">
        <v>0</v>
      </c>
      <c r="L15" s="295">
        <v>0</v>
      </c>
      <c r="M15" s="499" t="s">
        <v>362</v>
      </c>
    </row>
    <row r="16" spans="1:13" ht="49.8" customHeight="1">
      <c r="A16" s="450"/>
      <c r="B16" s="255" t="s">
        <v>264</v>
      </c>
      <c r="C16" s="202" t="str">
        <f>C15</f>
        <v>Inwestorzy prywatni</v>
      </c>
      <c r="D16" s="202" t="str">
        <f>D15</f>
        <v>2016-2020</v>
      </c>
      <c r="E16" s="148">
        <f>0.05*('Podsumowanie- Przedsiębiorcy'!H9-'Podsumowanie- Przedsiębiorcy'!G9)</f>
        <v>3508.545043495385</v>
      </c>
      <c r="F16" s="148">
        <f>0.15*('Podsumowanie- Przedsiębiorcy'!H17-'Podsumowanie- Przedsiębiorcy'!G17)</f>
        <v>3116.5299536167386</v>
      </c>
      <c r="G16" s="91" t="str">
        <f>G15</f>
        <v>środki prywatne</v>
      </c>
      <c r="H16" s="295">
        <f>($E$16/('Podsumowanie- Przedsiębiorcy'!$H$17-'Podsumowanie- Przedsiębiorcy'!$G$17))*'Prognoza emisji innych gazów'!C8</f>
        <v>6.8926748844969481</v>
      </c>
      <c r="I16" s="295">
        <f>($E$16/('Podsumowanie- Przedsiębiorcy'!$H$17-'Podsumowanie- Przedsiębiorcy'!$G$17))*'Prognoza emisji innych gazów'!C19</f>
        <v>6.2510092189449571</v>
      </c>
      <c r="J16" s="295">
        <f>($E$16/('Podsumowanie- Przedsiębiorcy'!$H$17-'Podsumowanie- Przedsiębiorcy'!$G$17))*'Prognoza emisji innych gazów'!C30</f>
        <v>24.982294833138845</v>
      </c>
      <c r="K16" s="295">
        <f>($E$16/('Podsumowanie- Przedsiębiorcy'!$H$17-'Podsumowanie- Przedsiębiorcy'!$G$17))*'Prognoza emisji innych gazów'!C41</f>
        <v>5.2320452357999487</v>
      </c>
      <c r="L16" s="295">
        <f>($E$16/('Podsumowanie- Przedsiębiorcy'!$H$17-'Podsumowanie- Przedsiębiorcy'!$G$17))*'Prognoza emisji innych gazów'!C52</f>
        <v>7.3593118958901671E-3</v>
      </c>
      <c r="M16" s="499" t="s">
        <v>363</v>
      </c>
    </row>
    <row r="17" spans="1:12">
      <c r="A17" s="446" t="s">
        <v>0</v>
      </c>
      <c r="B17" s="446"/>
      <c r="C17" s="446"/>
      <c r="D17" s="53" t="s">
        <v>214</v>
      </c>
      <c r="E17" s="182">
        <f t="shared" ref="E17:L17" si="3">SUM(E3:E16)</f>
        <v>34763.444568471263</v>
      </c>
      <c r="F17" s="182">
        <f t="shared" si="3"/>
        <v>12618.279975791251</v>
      </c>
      <c r="G17" s="54">
        <f t="shared" si="3"/>
        <v>5050000</v>
      </c>
      <c r="H17" s="182">
        <f t="shared" si="3"/>
        <v>30.853713992606174</v>
      </c>
      <c r="I17" s="182">
        <f t="shared" si="3"/>
        <v>27.962840104742735</v>
      </c>
      <c r="J17" s="182">
        <f t="shared" si="3"/>
        <v>106.63661014595496</v>
      </c>
      <c r="K17" s="182">
        <f t="shared" si="3"/>
        <v>20.751539106617983</v>
      </c>
      <c r="L17" s="182">
        <f t="shared" si="3"/>
        <v>0.9285206423663388</v>
      </c>
    </row>
    <row r="18" spans="1:12">
      <c r="A18" s="41"/>
      <c r="B18" s="142"/>
      <c r="C18" s="41"/>
      <c r="D18" s="41"/>
      <c r="E18" s="41"/>
      <c r="F18" s="41"/>
      <c r="G18" s="41"/>
      <c r="H18" s="296"/>
      <c r="I18" s="296"/>
      <c r="J18" s="296"/>
      <c r="K18" s="296"/>
      <c r="L18" s="296"/>
    </row>
    <row r="19" spans="1:12">
      <c r="H19" s="296"/>
      <c r="I19" s="296"/>
      <c r="J19" s="296"/>
      <c r="K19" s="296"/>
      <c r="L19" s="296"/>
    </row>
    <row r="21" spans="1:12">
      <c r="H21" s="298"/>
      <c r="I21" s="298"/>
      <c r="J21" s="298"/>
      <c r="K21" s="298"/>
      <c r="L21" s="298"/>
    </row>
  </sheetData>
  <mergeCells count="9">
    <mergeCell ref="M1:M2"/>
    <mergeCell ref="A17:C17"/>
    <mergeCell ref="A1:A2"/>
    <mergeCell ref="B1:B2"/>
    <mergeCell ref="C1:C2"/>
    <mergeCell ref="D1:D2"/>
    <mergeCell ref="A11:A14"/>
    <mergeCell ref="A15:A16"/>
    <mergeCell ref="A3:A8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  <headerFooter differentFirst="1">
    <oddFooter>Strona &amp;P z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9"/>
  <sheetViews>
    <sheetView view="pageBreakPreview" topLeftCell="A82" zoomScale="107" zoomScaleNormal="100" zoomScaleSheetLayoutView="107" workbookViewId="0">
      <selection activeCell="I89" sqref="A89:I89"/>
    </sheetView>
  </sheetViews>
  <sheetFormatPr defaultColWidth="8.88671875" defaultRowHeight="14.4"/>
  <cols>
    <col min="1" max="1" width="6.6640625" style="128" customWidth="1"/>
    <col min="2" max="3" width="7" style="128" customWidth="1"/>
    <col min="4" max="4" width="6.33203125" style="128" customWidth="1"/>
    <col min="5" max="5" width="7.44140625" style="128" customWidth="1"/>
    <col min="6" max="9" width="7.33203125" style="128" customWidth="1"/>
    <col min="10" max="10" width="6.33203125" style="128" customWidth="1"/>
    <col min="11" max="11" width="6.6640625" style="128" customWidth="1"/>
    <col min="12" max="12" width="6.5546875" style="128" customWidth="1"/>
    <col min="13" max="13" width="7" style="128" customWidth="1"/>
    <col min="14" max="14" width="6.6640625" style="128" customWidth="1"/>
    <col min="15" max="15" width="6.33203125" style="128" customWidth="1"/>
    <col min="16" max="16" width="6.44140625" style="128" customWidth="1"/>
    <col min="17" max="18" width="6.5546875" style="128" customWidth="1"/>
    <col min="19" max="19" width="7.33203125" style="128" customWidth="1"/>
    <col min="20" max="33" width="8.88671875" style="158"/>
    <col min="34" max="16384" width="8.88671875" style="93"/>
  </cols>
  <sheetData>
    <row r="1" spans="1:33">
      <c r="A1" s="451" t="s">
        <v>131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  <c r="L1" s="451"/>
      <c r="M1" s="451"/>
      <c r="N1" s="451"/>
      <c r="O1" s="451"/>
      <c r="P1" s="451"/>
      <c r="Q1" s="451"/>
      <c r="R1" s="451"/>
      <c r="S1" s="451"/>
    </row>
    <row r="2" spans="1:33">
      <c r="A2" s="144">
        <v>1995</v>
      </c>
      <c r="B2" s="144">
        <v>1996</v>
      </c>
      <c r="C2" s="144">
        <v>1997</v>
      </c>
      <c r="D2" s="124">
        <v>1998</v>
      </c>
      <c r="E2" s="144">
        <v>1999</v>
      </c>
      <c r="F2" s="144">
        <v>2000</v>
      </c>
      <c r="G2" s="144">
        <v>2001</v>
      </c>
      <c r="H2" s="124">
        <v>2002</v>
      </c>
      <c r="I2" s="144">
        <v>2003</v>
      </c>
      <c r="J2" s="144">
        <v>2004</v>
      </c>
      <c r="K2" s="144">
        <v>2005</v>
      </c>
      <c r="L2" s="124">
        <v>2006</v>
      </c>
      <c r="M2" s="144">
        <v>2007</v>
      </c>
      <c r="N2" s="144">
        <v>2008</v>
      </c>
      <c r="O2" s="144">
        <v>2009</v>
      </c>
      <c r="P2" s="124">
        <v>2010</v>
      </c>
      <c r="Q2" s="144">
        <v>2011</v>
      </c>
      <c r="R2" s="144">
        <v>2012</v>
      </c>
      <c r="S2" s="160">
        <v>2013</v>
      </c>
    </row>
    <row r="3" spans="1:33">
      <c r="A3" s="127">
        <v>5390</v>
      </c>
      <c r="B3" s="127">
        <v>5384</v>
      </c>
      <c r="C3" s="127">
        <v>5410</v>
      </c>
      <c r="D3" s="127">
        <v>5469</v>
      </c>
      <c r="E3" s="127">
        <v>5494</v>
      </c>
      <c r="F3" s="127">
        <v>5496</v>
      </c>
      <c r="G3" s="127">
        <v>5522</v>
      </c>
      <c r="H3" s="127">
        <v>5526</v>
      </c>
      <c r="I3" s="127">
        <v>5563</v>
      </c>
      <c r="J3" s="127">
        <v>5585</v>
      </c>
      <c r="K3" s="127">
        <v>5630</v>
      </c>
      <c r="L3" s="127">
        <v>5610</v>
      </c>
      <c r="M3" s="127">
        <v>5650</v>
      </c>
      <c r="N3" s="127">
        <v>5616</v>
      </c>
      <c r="O3" s="127">
        <v>5667</v>
      </c>
      <c r="P3" s="127">
        <v>5568</v>
      </c>
      <c r="Q3" s="127">
        <v>5606</v>
      </c>
      <c r="R3" s="127">
        <v>5602</v>
      </c>
      <c r="S3" s="161">
        <v>5646</v>
      </c>
      <c r="T3" s="158">
        <f>G3/F3</f>
        <v>1.0047307132459971</v>
      </c>
      <c r="U3" s="158">
        <f t="shared" ref="U3:AF3" si="0">H3/G3</f>
        <v>1.0007243752263673</v>
      </c>
      <c r="V3" s="158">
        <f t="shared" si="0"/>
        <v>1.0066956207021354</v>
      </c>
      <c r="W3" s="158">
        <f t="shared" si="0"/>
        <v>1.0039547007010605</v>
      </c>
      <c r="X3" s="158">
        <f t="shared" si="0"/>
        <v>1.0080572963294538</v>
      </c>
      <c r="Y3" s="158">
        <f t="shared" si="0"/>
        <v>0.99644760213143868</v>
      </c>
      <c r="Z3" s="158">
        <f t="shared" si="0"/>
        <v>1.0071301247771836</v>
      </c>
      <c r="AA3" s="158">
        <f t="shared" si="0"/>
        <v>0.99398230088495576</v>
      </c>
      <c r="AB3" s="158">
        <f t="shared" si="0"/>
        <v>1.0090811965811965</v>
      </c>
      <c r="AC3" s="158">
        <f t="shared" si="0"/>
        <v>0.98253043938591844</v>
      </c>
      <c r="AD3" s="158">
        <f t="shared" si="0"/>
        <v>1.0068247126436782</v>
      </c>
      <c r="AE3" s="158">
        <f t="shared" si="0"/>
        <v>0.99928647877274346</v>
      </c>
      <c r="AF3" s="158">
        <f t="shared" si="0"/>
        <v>1.0078543377365228</v>
      </c>
      <c r="AG3" s="158">
        <f>SUM(T3:AF3)/13</f>
        <v>1.0020999922398963</v>
      </c>
    </row>
    <row r="4" spans="1:33" ht="4.2" customHeight="1"/>
    <row r="7" spans="1:33" ht="18" customHeight="1"/>
    <row r="18" spans="1:28" ht="4.2" customHeight="1"/>
    <row r="19" spans="1:28">
      <c r="A19" s="451" t="s">
        <v>132</v>
      </c>
      <c r="B19" s="451"/>
      <c r="C19" s="451"/>
      <c r="D19" s="451"/>
      <c r="E19" s="451"/>
      <c r="F19" s="451"/>
      <c r="G19" s="451"/>
      <c r="H19" s="451"/>
      <c r="I19" s="451"/>
      <c r="J19" s="451"/>
      <c r="K19" s="451"/>
      <c r="L19" s="451"/>
      <c r="M19" s="451"/>
      <c r="N19" s="451"/>
      <c r="O19" s="451"/>
      <c r="P19" s="451"/>
      <c r="Q19" s="451"/>
      <c r="R19" s="451"/>
      <c r="S19" s="451"/>
    </row>
    <row r="20" spans="1:28">
      <c r="A20" s="144">
        <v>2012</v>
      </c>
      <c r="B20" s="144">
        <v>2013</v>
      </c>
      <c r="C20" s="144">
        <v>2014</v>
      </c>
      <c r="D20" s="144">
        <v>2015</v>
      </c>
      <c r="E20" s="144">
        <v>2016</v>
      </c>
      <c r="F20" s="144">
        <v>2017</v>
      </c>
      <c r="G20" s="144">
        <v>2018</v>
      </c>
      <c r="H20" s="144">
        <v>2019</v>
      </c>
      <c r="I20" s="144">
        <v>2020</v>
      </c>
      <c r="J20" s="144">
        <v>2021</v>
      </c>
      <c r="K20" s="144">
        <v>2022</v>
      </c>
      <c r="L20" s="144">
        <v>2023</v>
      </c>
      <c r="M20" s="144">
        <v>2024</v>
      </c>
      <c r="N20" s="144">
        <v>2025</v>
      </c>
      <c r="O20" s="144">
        <v>2026</v>
      </c>
      <c r="P20" s="144">
        <v>2027</v>
      </c>
      <c r="Q20" s="144">
        <v>2028</v>
      </c>
      <c r="R20" s="144">
        <v>2029</v>
      </c>
      <c r="S20" s="160">
        <v>2030</v>
      </c>
      <c r="T20" s="164"/>
      <c r="U20" s="159"/>
      <c r="V20" s="159"/>
      <c r="W20" s="159"/>
      <c r="X20" s="159"/>
      <c r="Y20" s="159"/>
      <c r="Z20" s="159"/>
      <c r="AA20" s="159"/>
      <c r="AB20" s="159"/>
    </row>
    <row r="21" spans="1:28">
      <c r="A21" s="125">
        <f>R3</f>
        <v>5602</v>
      </c>
      <c r="B21" s="125">
        <f>S3</f>
        <v>5646</v>
      </c>
      <c r="C21" s="125">
        <v>5652</v>
      </c>
      <c r="D21" s="126">
        <v>5631</v>
      </c>
      <c r="E21" s="126">
        <f>D21*$AG$3</f>
        <v>5642.825056302856</v>
      </c>
      <c r="F21" s="126">
        <f t="shared" ref="F21:S21" si="1">E21*$AG$3</f>
        <v>5654.6749451321848</v>
      </c>
      <c r="G21" s="126">
        <f t="shared" si="1"/>
        <v>5666.549718636099</v>
      </c>
      <c r="H21" s="126">
        <f t="shared" si="1"/>
        <v>5678.4494290722214</v>
      </c>
      <c r="I21" s="126">
        <f t="shared" si="1"/>
        <v>5690.3741288079163</v>
      </c>
      <c r="J21" s="126">
        <f t="shared" si="1"/>
        <v>5702.3238703205197</v>
      </c>
      <c r="K21" s="126">
        <f t="shared" si="1"/>
        <v>5714.2987061975682</v>
      </c>
      <c r="L21" s="126">
        <f t="shared" si="1"/>
        <v>5726.2986891370329</v>
      </c>
      <c r="M21" s="126">
        <f t="shared" si="1"/>
        <v>5738.3238719475494</v>
      </c>
      <c r="N21" s="126">
        <f t="shared" si="1"/>
        <v>5750.3743075486509</v>
      </c>
      <c r="O21" s="126">
        <f t="shared" si="1"/>
        <v>5762.4500489710026</v>
      </c>
      <c r="P21" s="126">
        <f t="shared" si="1"/>
        <v>5774.5511493566319</v>
      </c>
      <c r="Q21" s="126">
        <f t="shared" si="1"/>
        <v>5786.6776619591656</v>
      </c>
      <c r="R21" s="126">
        <f t="shared" si="1"/>
        <v>5798.8296401440612</v>
      </c>
      <c r="S21" s="162">
        <f t="shared" si="1"/>
        <v>5811.0071373888441</v>
      </c>
      <c r="U21" s="165">
        <f>I21/D21</f>
        <v>1.0105441535798112</v>
      </c>
    </row>
    <row r="35" spans="1:33">
      <c r="A35" s="451" t="s">
        <v>133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1"/>
      <c r="M35" s="451"/>
      <c r="N35" s="451"/>
      <c r="O35" s="451"/>
      <c r="P35" s="451"/>
      <c r="Q35" s="451"/>
      <c r="R35" s="451"/>
      <c r="S35" s="451"/>
    </row>
    <row r="36" spans="1:33">
      <c r="A36" s="144">
        <v>1995</v>
      </c>
      <c r="B36" s="144">
        <v>1996</v>
      </c>
      <c r="C36" s="144">
        <v>1997</v>
      </c>
      <c r="D36" s="124">
        <v>1998</v>
      </c>
      <c r="E36" s="144">
        <v>1999</v>
      </c>
      <c r="F36" s="144">
        <v>2000</v>
      </c>
      <c r="G36" s="144">
        <v>2001</v>
      </c>
      <c r="H36" s="124">
        <v>2002</v>
      </c>
      <c r="I36" s="144">
        <v>2003</v>
      </c>
      <c r="J36" s="144">
        <v>2004</v>
      </c>
      <c r="K36" s="144">
        <v>2005</v>
      </c>
      <c r="L36" s="124">
        <v>2006</v>
      </c>
      <c r="M36" s="144">
        <v>2007</v>
      </c>
      <c r="N36" s="144">
        <v>2008</v>
      </c>
      <c r="O36" s="144">
        <v>2009</v>
      </c>
      <c r="P36" s="124">
        <v>2010</v>
      </c>
      <c r="Q36" s="144">
        <v>2011</v>
      </c>
      <c r="R36" s="144">
        <v>2012</v>
      </c>
      <c r="S36" s="160">
        <v>2013</v>
      </c>
    </row>
    <row r="37" spans="1:33" s="94" customFormat="1" ht="13.8">
      <c r="A37" s="127">
        <v>129328</v>
      </c>
      <c r="B37" s="127">
        <v>129906</v>
      </c>
      <c r="C37" s="127">
        <v>131103</v>
      </c>
      <c r="D37" s="127">
        <v>133213</v>
      </c>
      <c r="E37" s="127">
        <v>133619</v>
      </c>
      <c r="F37" s="127">
        <v>134002</v>
      </c>
      <c r="G37" s="127">
        <v>135158</v>
      </c>
      <c r="H37" s="127">
        <v>161350</v>
      </c>
      <c r="I37" s="127">
        <v>164771</v>
      </c>
      <c r="J37" s="127">
        <v>166296</v>
      </c>
      <c r="K37" s="127">
        <v>167396</v>
      </c>
      <c r="L37" s="127">
        <v>168549</v>
      </c>
      <c r="M37" s="127">
        <v>170158</v>
      </c>
      <c r="N37" s="127">
        <v>172676</v>
      </c>
      <c r="O37" s="127">
        <v>174291</v>
      </c>
      <c r="P37" s="127">
        <v>187743</v>
      </c>
      <c r="Q37" s="127">
        <v>188965</v>
      </c>
      <c r="R37" s="127">
        <v>189966</v>
      </c>
      <c r="S37" s="161">
        <v>191893</v>
      </c>
      <c r="T37" s="166"/>
      <c r="U37" s="166">
        <f>Q37/P37</f>
        <v>1.0065088978017822</v>
      </c>
      <c r="V37" s="166">
        <f t="shared" ref="V37:W37" si="2">R37/Q37</f>
        <v>1.0052972772735691</v>
      </c>
      <c r="W37" s="166">
        <f t="shared" si="2"/>
        <v>1.0101439204910352</v>
      </c>
      <c r="X37" s="166">
        <f>(U37+V37+W37)/3</f>
        <v>1.0073166985221289</v>
      </c>
      <c r="Y37" s="166"/>
      <c r="Z37" s="166"/>
      <c r="AA37" s="166"/>
      <c r="AB37" s="166"/>
      <c r="AC37" s="166"/>
      <c r="AD37" s="166"/>
      <c r="AE37" s="166"/>
      <c r="AF37" s="166"/>
      <c r="AG37" s="166"/>
    </row>
    <row r="52" spans="1:20">
      <c r="A52" s="451" t="s">
        <v>134</v>
      </c>
      <c r="B52" s="451"/>
      <c r="C52" s="451"/>
      <c r="D52" s="451"/>
      <c r="E52" s="451"/>
      <c r="F52" s="451"/>
      <c r="G52" s="451"/>
      <c r="H52" s="451"/>
      <c r="I52" s="451"/>
      <c r="J52" s="451"/>
      <c r="K52" s="451"/>
      <c r="L52" s="451"/>
      <c r="M52" s="451"/>
      <c r="N52" s="451"/>
      <c r="O52" s="451"/>
      <c r="P52" s="451"/>
      <c r="Q52" s="451"/>
      <c r="R52" s="451"/>
      <c r="S52" s="451"/>
    </row>
    <row r="53" spans="1:20">
      <c r="A53" s="136">
        <v>2012</v>
      </c>
      <c r="B53" s="136">
        <v>2013</v>
      </c>
      <c r="C53" s="136">
        <v>2014</v>
      </c>
      <c r="D53" s="136">
        <v>2015</v>
      </c>
      <c r="E53" s="136">
        <v>2016</v>
      </c>
      <c r="F53" s="136">
        <v>2017</v>
      </c>
      <c r="G53" s="136">
        <v>2018</v>
      </c>
      <c r="H53" s="136">
        <v>2019</v>
      </c>
      <c r="I53" s="136">
        <v>2020</v>
      </c>
      <c r="J53" s="136">
        <v>2021</v>
      </c>
      <c r="K53" s="136">
        <v>2022</v>
      </c>
      <c r="L53" s="136">
        <v>2023</v>
      </c>
      <c r="M53" s="136">
        <v>2024</v>
      </c>
      <c r="N53" s="136">
        <v>2025</v>
      </c>
      <c r="O53" s="136">
        <v>2026</v>
      </c>
      <c r="P53" s="136">
        <v>2027</v>
      </c>
      <c r="Q53" s="136">
        <v>2028</v>
      </c>
      <c r="R53" s="136">
        <v>2029</v>
      </c>
      <c r="S53" s="160">
        <v>2030</v>
      </c>
    </row>
    <row r="54" spans="1:20">
      <c r="A54" s="125">
        <f>R37</f>
        <v>189966</v>
      </c>
      <c r="B54" s="125">
        <f>S37</f>
        <v>191893</v>
      </c>
      <c r="C54" s="125">
        <v>193858</v>
      </c>
      <c r="D54" s="125">
        <f>C54*$X$37</f>
        <v>195276.40054210287</v>
      </c>
      <c r="E54" s="125">
        <f t="shared" ref="E54:S54" si="3">D54*$X$37</f>
        <v>196705.17909335592</v>
      </c>
      <c r="F54" s="125">
        <f t="shared" si="3"/>
        <v>198144.41158652338</v>
      </c>
      <c r="G54" s="125">
        <f t="shared" si="3"/>
        <v>199594.17450994661</v>
      </c>
      <c r="H54" s="125">
        <f t="shared" si="3"/>
        <v>201054.54491160906</v>
      </c>
      <c r="I54" s="125">
        <f t="shared" si="3"/>
        <v>202525.60040323113</v>
      </c>
      <c r="J54" s="125">
        <f t="shared" si="3"/>
        <v>204007.41916439473</v>
      </c>
      <c r="K54" s="125">
        <f t="shared" si="3"/>
        <v>205500.07994669818</v>
      </c>
      <c r="L54" s="125">
        <f t="shared" si="3"/>
        <v>207003.66207794155</v>
      </c>
      <c r="M54" s="125">
        <f t="shared" si="3"/>
        <v>208518.24546634249</v>
      </c>
      <c r="N54" s="125">
        <f t="shared" si="3"/>
        <v>210043.91060478298</v>
      </c>
      <c r="O54" s="125">
        <f t="shared" si="3"/>
        <v>211580.73857508719</v>
      </c>
      <c r="P54" s="125">
        <f t="shared" si="3"/>
        <v>213128.81105233048</v>
      </c>
      <c r="Q54" s="125">
        <f t="shared" si="3"/>
        <v>214688.21030918017</v>
      </c>
      <c r="R54" s="125">
        <f t="shared" si="3"/>
        <v>216259.01922026786</v>
      </c>
      <c r="S54" s="163">
        <f t="shared" si="3"/>
        <v>217841.32126659385</v>
      </c>
      <c r="T54" s="167"/>
    </row>
    <row r="70" spans="1:37">
      <c r="A70" s="451" t="s">
        <v>135</v>
      </c>
      <c r="B70" s="451"/>
      <c r="C70" s="451"/>
      <c r="D70" s="451"/>
      <c r="E70" s="451"/>
      <c r="F70" s="451"/>
      <c r="G70" s="451"/>
      <c r="H70" s="451"/>
      <c r="I70" s="451"/>
      <c r="J70" s="451"/>
      <c r="K70" s="451"/>
      <c r="L70" s="451"/>
      <c r="M70" s="451"/>
      <c r="N70" s="451"/>
      <c r="O70" s="451"/>
      <c r="P70" s="451"/>
      <c r="Q70" s="451"/>
      <c r="R70" s="451"/>
      <c r="S70" s="451"/>
    </row>
    <row r="71" spans="1:37">
      <c r="A71" s="144">
        <v>1995</v>
      </c>
      <c r="B71" s="144">
        <v>1996</v>
      </c>
      <c r="C71" s="144">
        <v>1997</v>
      </c>
      <c r="D71" s="124">
        <v>1998</v>
      </c>
      <c r="E71" s="144">
        <v>1999</v>
      </c>
      <c r="F71" s="144">
        <v>2000</v>
      </c>
      <c r="G71" s="144">
        <v>2001</v>
      </c>
      <c r="H71" s="124">
        <v>2002</v>
      </c>
      <c r="I71" s="144">
        <v>2003</v>
      </c>
      <c r="J71" s="144">
        <v>2004</v>
      </c>
      <c r="K71" s="144">
        <v>2005</v>
      </c>
      <c r="L71" s="124">
        <v>2006</v>
      </c>
      <c r="M71" s="144">
        <v>2007</v>
      </c>
      <c r="N71" s="144">
        <v>2008</v>
      </c>
      <c r="O71" s="144">
        <v>2009</v>
      </c>
      <c r="P71" s="124">
        <v>2010</v>
      </c>
      <c r="Q71" s="144">
        <v>2011</v>
      </c>
      <c r="R71" s="144">
        <v>2012</v>
      </c>
      <c r="S71" s="160">
        <v>2013</v>
      </c>
    </row>
    <row r="72" spans="1:37">
      <c r="A72" s="127" t="s">
        <v>295</v>
      </c>
      <c r="B72" s="127" t="s">
        <v>295</v>
      </c>
      <c r="C72" s="127" t="s">
        <v>295</v>
      </c>
      <c r="D72" s="127" t="s">
        <v>295</v>
      </c>
      <c r="E72" s="127" t="s">
        <v>295</v>
      </c>
      <c r="F72" s="127" t="s">
        <v>295</v>
      </c>
      <c r="G72" s="127" t="s">
        <v>295</v>
      </c>
      <c r="H72" s="127">
        <v>418</v>
      </c>
      <c r="I72" s="127">
        <v>417</v>
      </c>
      <c r="J72" s="127">
        <v>395</v>
      </c>
      <c r="K72" s="127">
        <v>396</v>
      </c>
      <c r="L72" s="127">
        <v>414</v>
      </c>
      <c r="M72" s="127">
        <v>425</v>
      </c>
      <c r="N72" s="127">
        <v>422</v>
      </c>
      <c r="O72" s="127">
        <v>442</v>
      </c>
      <c r="P72" s="127">
        <v>470</v>
      </c>
      <c r="Q72" s="127">
        <v>468</v>
      </c>
      <c r="R72" s="127">
        <v>476</v>
      </c>
      <c r="S72" s="127">
        <v>498</v>
      </c>
      <c r="T72" s="127"/>
      <c r="U72" s="127"/>
      <c r="V72" s="168">
        <f>R72/Q72</f>
        <v>1.017094017094017</v>
      </c>
      <c r="W72" s="168">
        <f>S72/R72</f>
        <v>1.046218487394958</v>
      </c>
      <c r="X72" s="168">
        <f>C89/S72</f>
        <v>1.0100401606425702</v>
      </c>
      <c r="Y72" s="168">
        <f>C89/S72</f>
        <v>1.0100401606425702</v>
      </c>
      <c r="Z72" s="168">
        <f>(U72+V72+W72+X72+Y72+T72)/6</f>
        <v>0.68056547096235265</v>
      </c>
      <c r="AA72" s="168"/>
      <c r="AB72" s="168"/>
      <c r="AC72" s="168"/>
      <c r="AD72" s="168"/>
      <c r="AE72" s="168"/>
      <c r="AF72" s="168"/>
      <c r="AG72" s="168"/>
      <c r="AH72" s="95"/>
      <c r="AI72" s="95"/>
      <c r="AJ72" s="95"/>
      <c r="AK72" s="95"/>
    </row>
    <row r="81" spans="1:22">
      <c r="V81" s="158">
        <f>I89/B89</f>
        <v>1.1234415908325084</v>
      </c>
    </row>
    <row r="87" spans="1:22">
      <c r="A87" s="451" t="s">
        <v>136</v>
      </c>
      <c r="B87" s="451"/>
      <c r="C87" s="451"/>
      <c r="D87" s="451"/>
      <c r="E87" s="451"/>
      <c r="F87" s="451"/>
      <c r="G87" s="451"/>
      <c r="H87" s="451"/>
      <c r="I87" s="451"/>
      <c r="J87" s="451"/>
      <c r="K87" s="451"/>
      <c r="L87" s="451"/>
      <c r="M87" s="451"/>
      <c r="N87" s="451"/>
      <c r="O87" s="451"/>
      <c r="P87" s="451"/>
      <c r="Q87" s="451"/>
      <c r="R87" s="451"/>
      <c r="S87" s="451"/>
    </row>
    <row r="88" spans="1:22">
      <c r="A88" s="144">
        <v>2012</v>
      </c>
      <c r="B88" s="144">
        <v>2013</v>
      </c>
      <c r="C88" s="144">
        <v>2014</v>
      </c>
      <c r="D88" s="144">
        <v>2015</v>
      </c>
      <c r="E88" s="144">
        <v>2016</v>
      </c>
      <c r="F88" s="144">
        <v>2017</v>
      </c>
      <c r="G88" s="144">
        <v>2018</v>
      </c>
      <c r="H88" s="144">
        <v>2019</v>
      </c>
      <c r="I88" s="144">
        <v>2020</v>
      </c>
      <c r="J88" s="144">
        <v>2021</v>
      </c>
      <c r="K88" s="144">
        <v>2022</v>
      </c>
      <c r="L88" s="144">
        <v>2023</v>
      </c>
      <c r="M88" s="144">
        <v>2024</v>
      </c>
      <c r="N88" s="144">
        <v>2025</v>
      </c>
      <c r="O88" s="144">
        <v>2026</v>
      </c>
      <c r="P88" s="144">
        <v>2027</v>
      </c>
      <c r="Q88" s="144">
        <v>2028</v>
      </c>
      <c r="R88" s="144">
        <v>2029</v>
      </c>
      <c r="S88" s="160">
        <v>2030</v>
      </c>
    </row>
    <row r="89" spans="1:22">
      <c r="A89" s="125">
        <f>R72</f>
        <v>476</v>
      </c>
      <c r="B89" s="125">
        <f>S72</f>
        <v>498</v>
      </c>
      <c r="C89" s="125">
        <v>503</v>
      </c>
      <c r="D89" s="126">
        <v>512</v>
      </c>
      <c r="E89" s="126">
        <f>D89*D89/C89</f>
        <v>521.16103379721665</v>
      </c>
      <c r="F89" s="126">
        <f t="shared" ref="F89:S89" si="4">E89*E89/D89</f>
        <v>530.48598271207732</v>
      </c>
      <c r="G89" s="126">
        <f t="shared" si="4"/>
        <v>539.97777961945042</v>
      </c>
      <c r="H89" s="126">
        <f t="shared" si="4"/>
        <v>549.63940987109061</v>
      </c>
      <c r="I89" s="126">
        <f t="shared" si="4"/>
        <v>559.47391223458919</v>
      </c>
      <c r="J89" s="126">
        <f t="shared" si="4"/>
        <v>569.48437984912459</v>
      </c>
      <c r="K89" s="126">
        <f t="shared" si="4"/>
        <v>579.6739611983138</v>
      </c>
      <c r="L89" s="126">
        <f t="shared" si="4"/>
        <v>590.04586110047057</v>
      </c>
      <c r="M89" s="126">
        <f t="shared" si="4"/>
        <v>600.60334171658235</v>
      </c>
      <c r="N89" s="126">
        <f t="shared" si="4"/>
        <v>611.34972357632239</v>
      </c>
      <c r="O89" s="126">
        <f t="shared" si="4"/>
        <v>622.28838662241958</v>
      </c>
      <c r="P89" s="126">
        <f t="shared" si="4"/>
        <v>633.4227712737154</v>
      </c>
      <c r="Q89" s="126">
        <f t="shared" si="4"/>
        <v>644.75637950724115</v>
      </c>
      <c r="R89" s="126">
        <f t="shared" si="4"/>
        <v>656.29277595965698</v>
      </c>
      <c r="S89" s="126">
        <f t="shared" si="4"/>
        <v>668.03558904839838</v>
      </c>
      <c r="U89" s="169">
        <f>I89/B89</f>
        <v>1.1234415908325084</v>
      </c>
      <c r="V89" s="170"/>
    </row>
  </sheetData>
  <mergeCells count="6">
    <mergeCell ref="A87:S87"/>
    <mergeCell ref="A1:S1"/>
    <mergeCell ref="A19:S19"/>
    <mergeCell ref="A35:S35"/>
    <mergeCell ref="A52:S52"/>
    <mergeCell ref="A70:S70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 differentFirst="1">
    <oddFooter>Strona &amp;P z &amp;N</oddFooter>
  </headerFooter>
  <rowBreaks count="2" manualBreakCount="2">
    <brk id="34" max="18" man="1"/>
    <brk id="69" max="18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8"/>
  <sheetViews>
    <sheetView view="pageBreakPreview" zoomScale="60" zoomScaleNormal="100" workbookViewId="0">
      <selection activeCell="K32" sqref="K32"/>
    </sheetView>
  </sheetViews>
  <sheetFormatPr defaultColWidth="8.88671875" defaultRowHeight="14.4"/>
  <cols>
    <col min="1" max="1" width="12" style="93" customWidth="1"/>
    <col min="2" max="2" width="21.5546875" style="93" customWidth="1"/>
    <col min="3" max="3" width="14.33203125" style="108" customWidth="1"/>
    <col min="4" max="4" width="14.5546875" style="108" customWidth="1"/>
    <col min="5" max="5" width="11.6640625" style="108" customWidth="1"/>
    <col min="6" max="6" width="13.109375" style="108" customWidth="1"/>
    <col min="7" max="10" width="8.88671875" style="337"/>
    <col min="11" max="11" width="15.109375" style="337" customWidth="1"/>
    <col min="12" max="14" width="8.88671875" style="337"/>
    <col min="15" max="15" width="19.33203125" style="337" customWidth="1"/>
    <col min="16" max="17" width="8.88671875" style="299"/>
    <col min="18" max="23" width="8.88671875" style="337"/>
    <col min="24" max="16384" width="8.88671875" style="93"/>
  </cols>
  <sheetData>
    <row r="1" spans="1:31">
      <c r="A1" s="452" t="s">
        <v>137</v>
      </c>
      <c r="B1" s="453" t="s">
        <v>37</v>
      </c>
      <c r="C1" s="454" t="s">
        <v>43</v>
      </c>
      <c r="D1" s="455"/>
      <c r="E1" s="455"/>
      <c r="F1" s="456"/>
      <c r="O1" s="338" t="s">
        <v>167</v>
      </c>
      <c r="P1" s="300"/>
    </row>
    <row r="2" spans="1:31">
      <c r="A2" s="452"/>
      <c r="B2" s="453"/>
      <c r="C2" s="101" t="s">
        <v>44</v>
      </c>
      <c r="D2" s="101" t="s">
        <v>8</v>
      </c>
      <c r="E2" s="101" t="s">
        <v>12</v>
      </c>
      <c r="F2" s="101" t="s">
        <v>51</v>
      </c>
      <c r="O2" s="338" t="s">
        <v>166</v>
      </c>
      <c r="Q2" s="300">
        <v>2005</v>
      </c>
      <c r="R2" s="337">
        <v>2006</v>
      </c>
      <c r="S2" s="337">
        <v>2007</v>
      </c>
      <c r="T2" s="338"/>
      <c r="V2" s="338"/>
      <c r="X2" s="212"/>
      <c r="Y2" s="213"/>
      <c r="Z2" s="212"/>
      <c r="AA2" s="212"/>
      <c r="AB2" s="213"/>
      <c r="AC2" s="212"/>
      <c r="AD2" s="212"/>
      <c r="AE2" s="213"/>
    </row>
    <row r="3" spans="1:31">
      <c r="A3" s="102">
        <v>2010</v>
      </c>
      <c r="B3" s="98" t="s">
        <v>41</v>
      </c>
      <c r="C3" s="99">
        <f>J26*F3</f>
        <v>1021.966638311396</v>
      </c>
      <c r="D3" s="99">
        <f>K26*F3</f>
        <v>349.39347193213672</v>
      </c>
      <c r="E3" s="99">
        <f>L26*F3</f>
        <v>211.41321556875897</v>
      </c>
      <c r="F3" s="99">
        <f>F9*(1-P3)</f>
        <v>1582.7733258122917</v>
      </c>
      <c r="O3" s="338" t="e">
        <f>#REF!</f>
        <v>#REF!</v>
      </c>
      <c r="P3" s="341">
        <f>T3</f>
        <v>6.7434866793760165E-2</v>
      </c>
      <c r="Q3" s="342">
        <f>1511441/1431332-1</f>
        <v>5.5968147152442693E-2</v>
      </c>
      <c r="R3" s="342">
        <f>1617341/1511441-1</f>
        <v>7.006558641720062E-2</v>
      </c>
      <c r="S3" s="342">
        <f>1740697/1617341-1</f>
        <v>7.6270866811637195E-2</v>
      </c>
      <c r="T3" s="342">
        <f>(Q3+R3+S3)/3</f>
        <v>6.7434866793760165E-2</v>
      </c>
      <c r="U3" s="342"/>
      <c r="V3" s="342"/>
      <c r="W3" s="342"/>
      <c r="X3" s="214"/>
      <c r="Y3" s="214"/>
      <c r="Z3" s="214"/>
      <c r="AA3" s="214"/>
      <c r="AB3" s="214"/>
      <c r="AC3" s="214"/>
      <c r="AD3" s="214"/>
      <c r="AE3" s="214"/>
    </row>
    <row r="4" spans="1:31">
      <c r="A4" s="103"/>
      <c r="B4" s="98" t="s">
        <v>40</v>
      </c>
      <c r="C4" s="99">
        <f>J27*F4</f>
        <v>161.13811766213618</v>
      </c>
      <c r="D4" s="99">
        <f t="shared" ref="D4:D7" si="0">K27*F4</f>
        <v>1.3937024054955527</v>
      </c>
      <c r="E4" s="99">
        <f t="shared" ref="E4:E7" si="1">L27*F4</f>
        <v>8.4373800022747218</v>
      </c>
      <c r="F4" s="99">
        <f t="shared" ref="F4:F7" si="2">F10*(1-P4)</f>
        <v>170.96920006990646</v>
      </c>
      <c r="O4" s="338" t="e">
        <f>#REF!</f>
        <v>#REF!</v>
      </c>
      <c r="P4" s="341">
        <f t="shared" ref="P4:P7" si="3">T4</f>
        <v>5.1750541576713362E-2</v>
      </c>
      <c r="Q4" s="342">
        <f>63350/61643-1</f>
        <v>2.7691708709829177E-2</v>
      </c>
      <c r="R4" s="342">
        <f>67070/63350-1</f>
        <v>5.8721389108129518E-2</v>
      </c>
      <c r="S4" s="342">
        <f>71687/67070-1</f>
        <v>6.8838526912181397E-2</v>
      </c>
      <c r="T4" s="342">
        <f t="shared" ref="T4:T7" si="4">(Q4+R4+S4)/3</f>
        <v>5.1750541576713362E-2</v>
      </c>
    </row>
    <row r="5" spans="1:31">
      <c r="A5" s="103"/>
      <c r="B5" s="98" t="s">
        <v>39</v>
      </c>
      <c r="C5" s="99">
        <f t="shared" ref="C5:C7" si="5">J28*F5</f>
        <v>113.60920856452516</v>
      </c>
      <c r="D5" s="99">
        <f t="shared" si="0"/>
        <v>164.20785774247383</v>
      </c>
      <c r="E5" s="99">
        <f t="shared" si="1"/>
        <v>15.044701727828595</v>
      </c>
      <c r="F5" s="99">
        <f t="shared" si="2"/>
        <v>292.86176803482761</v>
      </c>
      <c r="O5" s="338" t="e">
        <f>#REF!</f>
        <v>#REF!</v>
      </c>
      <c r="P5" s="341">
        <f t="shared" si="3"/>
        <v>3.0545759188879067E-2</v>
      </c>
      <c r="Q5" s="342">
        <f>228538/223180-1</f>
        <v>2.4007527556232588E-2</v>
      </c>
      <c r="R5" s="342">
        <f>234809/228538-1</f>
        <v>2.7439638047064285E-2</v>
      </c>
      <c r="S5" s="342">
        <f>244246/234809-1</f>
        <v>4.0190111963340325E-2</v>
      </c>
      <c r="T5" s="342">
        <f t="shared" si="4"/>
        <v>3.0545759188879067E-2</v>
      </c>
    </row>
    <row r="6" spans="1:31">
      <c r="A6" s="103"/>
      <c r="B6" s="98" t="s">
        <v>38</v>
      </c>
      <c r="C6" s="99">
        <f t="shared" si="5"/>
        <v>2.4426729437953636</v>
      </c>
      <c r="D6" s="99">
        <f t="shared" si="0"/>
        <v>45.337884809677263</v>
      </c>
      <c r="E6" s="99">
        <f t="shared" si="1"/>
        <v>9.8956899642029639E-2</v>
      </c>
      <c r="F6" s="99">
        <f t="shared" si="2"/>
        <v>47.879514653114661</v>
      </c>
      <c r="O6" s="338" t="e">
        <f>#REF!</f>
        <v>#REF!</v>
      </c>
      <c r="P6" s="341">
        <f t="shared" si="3"/>
        <v>2.7348166093502952E-2</v>
      </c>
      <c r="Q6" s="342">
        <f>8841/8797-1</f>
        <v>5.0017051267476909E-3</v>
      </c>
      <c r="R6" s="342">
        <f>9229/8841-1</f>
        <v>4.3886438185725574E-2</v>
      </c>
      <c r="S6" s="342">
        <f>9535/9229-1</f>
        <v>3.3156354968035595E-2</v>
      </c>
      <c r="T6" s="342">
        <f t="shared" si="4"/>
        <v>2.7348166093502952E-2</v>
      </c>
    </row>
    <row r="7" spans="1:31">
      <c r="A7" s="103"/>
      <c r="B7" s="98" t="s">
        <v>42</v>
      </c>
      <c r="C7" s="99">
        <f t="shared" si="5"/>
        <v>0.15421066368706579</v>
      </c>
      <c r="D7" s="99">
        <f t="shared" si="0"/>
        <v>8.3506130623968637</v>
      </c>
      <c r="E7" s="99">
        <f t="shared" si="1"/>
        <v>3.010276654165325E-2</v>
      </c>
      <c r="F7" s="99">
        <f t="shared" si="2"/>
        <v>8.5349264926255817</v>
      </c>
      <c r="O7" s="338" t="e">
        <f>#REF!</f>
        <v>#REF!</v>
      </c>
      <c r="P7" s="341">
        <f t="shared" si="3"/>
        <v>0.12873519137263054</v>
      </c>
      <c r="Q7" s="342">
        <f>14312/13228-1</f>
        <v>8.1947384336256368E-2</v>
      </c>
      <c r="R7" s="342">
        <f>16257/14312-1</f>
        <v>0.13589994410285078</v>
      </c>
      <c r="S7" s="342">
        <f>18994/16257-1</f>
        <v>0.16835824567878444</v>
      </c>
      <c r="T7" s="342">
        <f t="shared" si="4"/>
        <v>0.12873519137263054</v>
      </c>
    </row>
    <row r="8" spans="1:31">
      <c r="A8" s="104"/>
      <c r="B8" s="100" t="s">
        <v>0</v>
      </c>
      <c r="C8" s="105">
        <f>SUM(C3:C7)</f>
        <v>1299.3108481455397</v>
      </c>
      <c r="D8" s="105">
        <f>SUM(D3:D7)</f>
        <v>568.68352995218015</v>
      </c>
      <c r="E8" s="105">
        <f>SUM(E3:E7)</f>
        <v>235.02435696504597</v>
      </c>
      <c r="F8" s="106">
        <f>C8+D8+E8</f>
        <v>2103.0187350627657</v>
      </c>
      <c r="O8" s="338"/>
      <c r="P8" s="338"/>
      <c r="Q8" s="337"/>
    </row>
    <row r="9" spans="1:31">
      <c r="A9" s="102">
        <v>2011</v>
      </c>
      <c r="B9" s="98" t="s">
        <v>41</v>
      </c>
      <c r="C9" s="99">
        <f>J26*F9</f>
        <v>1095.8662316676864</v>
      </c>
      <c r="D9" s="99">
        <f>K26*F9</f>
        <v>374.65851927241977</v>
      </c>
      <c r="E9" s="99">
        <f>L26*F9</f>
        <v>226.70075047938153</v>
      </c>
      <c r="F9" s="113">
        <f>F15*(1-P3)</f>
        <v>1697.2255014194877</v>
      </c>
      <c r="O9" s="338"/>
      <c r="P9" s="300"/>
    </row>
    <row r="10" spans="1:31">
      <c r="A10" s="103"/>
      <c r="B10" s="98" t="s">
        <v>40</v>
      </c>
      <c r="C10" s="99">
        <f t="shared" ref="C10:C13" si="6">J27*F10</f>
        <v>169.93220110040511</v>
      </c>
      <c r="D10" s="99">
        <f t="shared" ref="D10:D13" si="7">K27*F10</f>
        <v>1.469763460569699</v>
      </c>
      <c r="E10" s="99">
        <f t="shared" ref="E10:E13" si="8">L27*F10</f>
        <v>8.89784847998129</v>
      </c>
      <c r="F10" s="113">
        <f t="shared" ref="F10:F13" si="9">F16*(1-P4)</f>
        <v>180.29981304095611</v>
      </c>
      <c r="O10" s="338"/>
      <c r="P10" s="300"/>
    </row>
    <row r="11" spans="1:31">
      <c r="A11" s="103"/>
      <c r="B11" s="98" t="s">
        <v>39</v>
      </c>
      <c r="C11" s="99">
        <f t="shared" si="6"/>
        <v>117.18883035621242</v>
      </c>
      <c r="D11" s="99">
        <f t="shared" si="7"/>
        <v>169.38175194848264</v>
      </c>
      <c r="E11" s="99">
        <f t="shared" si="8"/>
        <v>15.518733215547158</v>
      </c>
      <c r="F11" s="113">
        <f t="shared" si="9"/>
        <v>302.08931552024222</v>
      </c>
      <c r="O11" s="338"/>
      <c r="P11" s="300"/>
    </row>
    <row r="12" spans="1:31">
      <c r="A12" s="103"/>
      <c r="B12" s="98" t="s">
        <v>38</v>
      </c>
      <c r="C12" s="99">
        <f t="shared" si="6"/>
        <v>2.5113538664547281</v>
      </c>
      <c r="D12" s="99">
        <f t="shared" si="7"/>
        <v>46.612655453066971</v>
      </c>
      <c r="E12" s="99">
        <f t="shared" si="8"/>
        <v>0.10173928243633226</v>
      </c>
      <c r="F12" s="113">
        <f t="shared" si="9"/>
        <v>49.225748601958031</v>
      </c>
      <c r="O12" s="338"/>
      <c r="P12" s="300"/>
    </row>
    <row r="13" spans="1:31">
      <c r="A13" s="103"/>
      <c r="B13" s="98" t="s">
        <v>42</v>
      </c>
      <c r="C13" s="99">
        <f t="shared" si="6"/>
        <v>0.17699631863935414</v>
      </c>
      <c r="D13" s="99">
        <f t="shared" si="7"/>
        <v>9.5844718846762582</v>
      </c>
      <c r="E13" s="99">
        <f t="shared" si="8"/>
        <v>3.4550651241243784E-2</v>
      </c>
      <c r="F13" s="113">
        <f t="shared" si="9"/>
        <v>9.7960188545568556</v>
      </c>
      <c r="O13" s="338"/>
      <c r="P13" s="300"/>
    </row>
    <row r="14" spans="1:31">
      <c r="A14" s="104"/>
      <c r="B14" s="100" t="s">
        <v>0</v>
      </c>
      <c r="C14" s="105">
        <f>SUM(C9:C13)</f>
        <v>1385.6756133093982</v>
      </c>
      <c r="D14" s="105">
        <f>SUM(D9:D13)</f>
        <v>601.70716201921539</v>
      </c>
      <c r="E14" s="105">
        <f>SUM(E9:E13)</f>
        <v>251.25362210858754</v>
      </c>
      <c r="F14" s="106">
        <f t="shared" ref="F14" si="10">C14+D14+E14</f>
        <v>2238.6363974372011</v>
      </c>
      <c r="O14" s="338"/>
      <c r="P14" s="300"/>
    </row>
    <row r="15" spans="1:31">
      <c r="A15" s="102">
        <v>2012</v>
      </c>
      <c r="B15" s="98" t="s">
        <v>41</v>
      </c>
      <c r="C15" s="99">
        <f>J26*F15</f>
        <v>1175.1095903618047</v>
      </c>
      <c r="D15" s="99">
        <f>K26*F15</f>
        <v>401.75051149972904</v>
      </c>
      <c r="E15" s="99">
        <f>L26*F15</f>
        <v>243.09374477680149</v>
      </c>
      <c r="F15" s="107">
        <f>F21*(1-P3)</f>
        <v>1819.9538466383353</v>
      </c>
    </row>
    <row r="16" spans="1:31">
      <c r="A16" s="103"/>
      <c r="B16" s="98" t="s">
        <v>40</v>
      </c>
      <c r="C16" s="99">
        <f t="shared" ref="C16:C19" si="11">J27*F16</f>
        <v>179.20622004146668</v>
      </c>
      <c r="D16" s="99">
        <f t="shared" ref="D16:D19" si="12">K27*F16</f>
        <v>1.5499755338785703</v>
      </c>
      <c r="E16" s="99">
        <f t="shared" ref="E16:E19" si="13">L27*F16</f>
        <v>9.3834469410362704</v>
      </c>
      <c r="F16" s="107">
        <f t="shared" ref="F16:F19" si="14">F22*(1-P4)</f>
        <v>190.13964251638151</v>
      </c>
    </row>
    <row r="17" spans="1:13">
      <c r="A17" s="103"/>
      <c r="B17" s="98" t="s">
        <v>39</v>
      </c>
      <c r="C17" s="99">
        <f t="shared" si="11"/>
        <v>120.881239591219</v>
      </c>
      <c r="D17" s="99">
        <f t="shared" si="12"/>
        <v>174.71866625366934</v>
      </c>
      <c r="E17" s="99">
        <f t="shared" si="13"/>
        <v>16.007700582714431</v>
      </c>
      <c r="F17" s="107">
        <f t="shared" si="14"/>
        <v>311.60760642760278</v>
      </c>
      <c r="J17" s="337" t="str">
        <f>C2</f>
        <v>Benzyna</v>
      </c>
      <c r="K17" s="337" t="str">
        <f t="shared" ref="K17:L17" si="15">D2</f>
        <v>Olej napędowy</v>
      </c>
      <c r="L17" s="337" t="str">
        <f t="shared" si="15"/>
        <v>LPG</v>
      </c>
    </row>
    <row r="18" spans="1:13">
      <c r="A18" s="103"/>
      <c r="B18" s="98" t="s">
        <v>38</v>
      </c>
      <c r="C18" s="99">
        <f t="shared" si="11"/>
        <v>2.5819658987001404</v>
      </c>
      <c r="D18" s="99">
        <f t="shared" si="12"/>
        <v>47.923268972675309</v>
      </c>
      <c r="E18" s="99">
        <f t="shared" si="13"/>
        <v>0.10459989781514427</v>
      </c>
      <c r="F18" s="107">
        <f t="shared" si="14"/>
        <v>50.609834769190599</v>
      </c>
      <c r="H18" s="337" t="str">
        <f>B3</f>
        <v>Samochody osobowe</v>
      </c>
      <c r="J18" s="337">
        <v>380463</v>
      </c>
      <c r="K18" s="337">
        <v>130074</v>
      </c>
      <c r="L18" s="337">
        <v>78706</v>
      </c>
      <c r="M18" s="337">
        <f>SUM(J18:L18)</f>
        <v>589243</v>
      </c>
    </row>
    <row r="19" spans="1:13">
      <c r="A19" s="103"/>
      <c r="B19" s="98" t="s">
        <v>42</v>
      </c>
      <c r="C19" s="99">
        <f t="shared" si="11"/>
        <v>0.20314870621045999</v>
      </c>
      <c r="D19" s="99">
        <f t="shared" si="12"/>
        <v>11.000641584245868</v>
      </c>
      <c r="E19" s="99">
        <f t="shared" si="13"/>
        <v>3.9655740595877467E-2</v>
      </c>
      <c r="F19" s="107">
        <f t="shared" si="14"/>
        <v>11.243446031052205</v>
      </c>
      <c r="H19" s="337" t="str">
        <f t="shared" ref="H19:H21" si="16">B4</f>
        <v>Motocykle</v>
      </c>
      <c r="J19" s="337">
        <v>898242</v>
      </c>
      <c r="K19" s="337">
        <v>7769</v>
      </c>
      <c r="L19" s="337">
        <v>47033</v>
      </c>
      <c r="M19" s="337">
        <f t="shared" ref="M19:M22" si="17">SUM(J19:L19)</f>
        <v>953044</v>
      </c>
    </row>
    <row r="20" spans="1:13">
      <c r="A20" s="104"/>
      <c r="B20" s="100" t="s">
        <v>0</v>
      </c>
      <c r="C20" s="105">
        <f>SUM(C15:C19)</f>
        <v>1477.9821645994009</v>
      </c>
      <c r="D20" s="105">
        <f>SUM(D15:D19)</f>
        <v>636.94306384419804</v>
      </c>
      <c r="E20" s="105">
        <f>SUM(E15:E19)</f>
        <v>268.62914793896323</v>
      </c>
      <c r="F20" s="106">
        <f t="shared" ref="F20:F50" si="18">C20+D20+E20</f>
        <v>2383.5543763825622</v>
      </c>
      <c r="H20" s="337" t="str">
        <f t="shared" si="16"/>
        <v>Samochody ciężarowe</v>
      </c>
      <c r="J20" s="337">
        <v>90791</v>
      </c>
      <c r="K20" s="337">
        <v>131227</v>
      </c>
      <c r="L20" s="337">
        <v>12023</v>
      </c>
      <c r="M20" s="337">
        <f t="shared" si="17"/>
        <v>234041</v>
      </c>
    </row>
    <row r="21" spans="1:13">
      <c r="A21" s="102">
        <v>2013</v>
      </c>
      <c r="B21" s="98" t="s">
        <v>41</v>
      </c>
      <c r="C21" s="99">
        <f>J26*F21</f>
        <v>1260.0831282654501</v>
      </c>
      <c r="D21" s="99">
        <f>K26*F21</f>
        <v>430.80155711856389</v>
      </c>
      <c r="E21" s="99">
        <f>L26*F21</f>
        <v>260.67213551189087</v>
      </c>
      <c r="F21" s="107">
        <f>F27*(1-P3)</f>
        <v>1951.5568208959048</v>
      </c>
      <c r="H21" s="337" t="str">
        <f t="shared" si="16"/>
        <v>Autobusy</v>
      </c>
      <c r="J21" s="337">
        <v>469</v>
      </c>
      <c r="K21" s="337">
        <v>8705</v>
      </c>
      <c r="L21" s="337">
        <v>19</v>
      </c>
      <c r="M21" s="337">
        <f t="shared" si="17"/>
        <v>9193</v>
      </c>
    </row>
    <row r="22" spans="1:13">
      <c r="A22" s="103"/>
      <c r="B22" s="98" t="s">
        <v>40</v>
      </c>
      <c r="C22" s="99">
        <f t="shared" ref="C22:C25" si="19">J27*F22</f>
        <v>188.98636687801962</v>
      </c>
      <c r="D22" s="99">
        <f t="shared" ref="D22:D25" si="20">K27*F22</f>
        <v>1.6345651664866867</v>
      </c>
      <c r="E22" s="99">
        <f t="shared" ref="E22:E25" si="21">L27*F22</f>
        <v>9.8955468497063119</v>
      </c>
      <c r="F22" s="107">
        <f t="shared" ref="F22:F25" si="22">F28*(1-P4)</f>
        <v>200.51647889421261</v>
      </c>
      <c r="H22" s="337" t="str">
        <f>B7</f>
        <v>Ciągniki rolnicze</v>
      </c>
      <c r="J22" s="337">
        <v>292</v>
      </c>
      <c r="K22" s="337">
        <v>15812</v>
      </c>
      <c r="L22" s="337">
        <v>57</v>
      </c>
      <c r="M22" s="337">
        <f t="shared" si="17"/>
        <v>16161</v>
      </c>
    </row>
    <row r="23" spans="1:13">
      <c r="A23" s="103"/>
      <c r="B23" s="98" t="s">
        <v>39</v>
      </c>
      <c r="C23" s="99">
        <f t="shared" si="19"/>
        <v>124.68998999899195</v>
      </c>
      <c r="D23" s="99">
        <f t="shared" si="20"/>
        <v>180.22373712810426</v>
      </c>
      <c r="E23" s="99">
        <f t="shared" si="21"/>
        <v>16.51207443202388</v>
      </c>
      <c r="F23" s="107">
        <f t="shared" si="22"/>
        <v>321.42580155912009</v>
      </c>
      <c r="J23" s="337">
        <f>SUM(J18:J22)</f>
        <v>1370257</v>
      </c>
      <c r="K23" s="337">
        <f t="shared" ref="K23:L23" si="23">SUM(K18:K22)</f>
        <v>293587</v>
      </c>
      <c r="L23" s="337">
        <f t="shared" si="23"/>
        <v>137838</v>
      </c>
      <c r="M23" s="337">
        <f>SUM(M18:M22)</f>
        <v>1801682</v>
      </c>
    </row>
    <row r="24" spans="1:13">
      <c r="A24" s="103"/>
      <c r="B24" s="98" t="s">
        <v>38</v>
      </c>
      <c r="C24" s="99">
        <f t="shared" si="19"/>
        <v>2.6545633377671192</v>
      </c>
      <c r="D24" s="99">
        <f t="shared" si="20"/>
        <v>49.27073316687158</v>
      </c>
      <c r="E24" s="99">
        <f t="shared" si="21"/>
        <v>0.10754094545325216</v>
      </c>
      <c r="F24" s="107">
        <f t="shared" si="22"/>
        <v>52.032837450091954</v>
      </c>
      <c r="H24" s="337" t="s">
        <v>168</v>
      </c>
    </row>
    <row r="25" spans="1:13">
      <c r="A25" s="103"/>
      <c r="B25" s="98" t="s">
        <v>42</v>
      </c>
      <c r="C25" s="99">
        <f t="shared" si="19"/>
        <v>0.23316528361854738</v>
      </c>
      <c r="D25" s="99">
        <f t="shared" si="20"/>
        <v>12.626059810193393</v>
      </c>
      <c r="E25" s="99">
        <f t="shared" si="21"/>
        <v>4.5515140980332873E-2</v>
      </c>
      <c r="F25" s="107">
        <f t="shared" si="22"/>
        <v>12.904740234792273</v>
      </c>
      <c r="J25" s="337" t="s">
        <v>44</v>
      </c>
      <c r="K25" s="337" t="s">
        <v>8</v>
      </c>
      <c r="L25" s="337" t="s">
        <v>12</v>
      </c>
    </row>
    <row r="26" spans="1:13">
      <c r="A26" s="104"/>
      <c r="B26" s="100" t="s">
        <v>0</v>
      </c>
      <c r="C26" s="105">
        <f>SUM(C21:C25)</f>
        <v>1576.6472137638473</v>
      </c>
      <c r="D26" s="105">
        <f>SUM(D21:D25)</f>
        <v>674.55665239021982</v>
      </c>
      <c r="E26" s="105">
        <f>SUM(E21:E25)</f>
        <v>287.23281288005467</v>
      </c>
      <c r="F26" s="106">
        <f t="shared" si="18"/>
        <v>2538.4366790341219</v>
      </c>
      <c r="H26" s="337" t="s">
        <v>41</v>
      </c>
      <c r="J26" s="339">
        <f>J18/M18</f>
        <v>0.64568098390646977</v>
      </c>
      <c r="K26" s="339">
        <f>K18/M18</f>
        <v>0.22074763722267385</v>
      </c>
      <c r="L26" s="339">
        <f>L18/M18</f>
        <v>0.13357137887085635</v>
      </c>
    </row>
    <row r="27" spans="1:13">
      <c r="A27" s="102">
        <v>2014</v>
      </c>
      <c r="B27" s="98" t="s">
        <v>41</v>
      </c>
      <c r="C27" s="99">
        <f>J26*F27</f>
        <v>1351.2012012857215</v>
      </c>
      <c r="D27" s="99">
        <f>K26*F27</f>
        <v>461.95331755266335</v>
      </c>
      <c r="E27" s="99">
        <f>L26*F27</f>
        <v>279.52164007641744</v>
      </c>
      <c r="F27" s="107">
        <f>F33*(1-P3)</f>
        <v>2092.6761589148023</v>
      </c>
      <c r="H27" s="337" t="s">
        <v>40</v>
      </c>
      <c r="J27" s="339">
        <f t="shared" ref="J27:J30" si="24">J19/M19</f>
        <v>0.94249793293908779</v>
      </c>
      <c r="K27" s="339">
        <f t="shared" ref="K27:K30" si="25">K19/M19</f>
        <v>8.1517747344298907E-3</v>
      </c>
      <c r="L27" s="339">
        <f t="shared" ref="L27:L30" si="26">L19/M19</f>
        <v>4.9350292326482303E-2</v>
      </c>
    </row>
    <row r="28" spans="1:13">
      <c r="A28" s="103"/>
      <c r="B28" s="98" t="s">
        <v>40</v>
      </c>
      <c r="C28" s="99">
        <f t="shared" ref="C28:C31" si="27">J27*F28</f>
        <v>199.30026344782627</v>
      </c>
      <c r="D28" s="99">
        <f t="shared" ref="D28:D31" si="28">K27*F28</f>
        <v>1.7237712628959261</v>
      </c>
      <c r="E28" s="99">
        <f t="shared" ref="E28:E31" si="29">L27*F28</f>
        <v>10.435594517670753</v>
      </c>
      <c r="F28" s="107">
        <f t="shared" ref="F28:F31" si="30">F34*(1-P4)</f>
        <v>211.45962922839294</v>
      </c>
      <c r="H28" s="337" t="s">
        <v>39</v>
      </c>
      <c r="J28" s="339">
        <f t="shared" si="24"/>
        <v>0.38792775624783693</v>
      </c>
      <c r="K28" s="339">
        <f t="shared" si="25"/>
        <v>0.56070090283326424</v>
      </c>
      <c r="L28" s="339">
        <f t="shared" si="26"/>
        <v>5.1371340918898827E-2</v>
      </c>
    </row>
    <row r="29" spans="1:13">
      <c r="A29" s="103"/>
      <c r="B29" s="98" t="s">
        <v>39</v>
      </c>
      <c r="C29" s="99">
        <f t="shared" si="27"/>
        <v>128.61874728060045</v>
      </c>
      <c r="D29" s="99">
        <f t="shared" si="28"/>
        <v>185.90226288278964</v>
      </c>
      <c r="E29" s="99">
        <f t="shared" si="29"/>
        <v>17.032340194013273</v>
      </c>
      <c r="F29" s="107">
        <f t="shared" si="30"/>
        <v>331.55335035740336</v>
      </c>
      <c r="H29" s="337" t="s">
        <v>38</v>
      </c>
      <c r="J29" s="339">
        <f t="shared" si="24"/>
        <v>5.1017078211682804E-2</v>
      </c>
      <c r="K29" s="339">
        <f t="shared" si="25"/>
        <v>0.94691613183944301</v>
      </c>
      <c r="L29" s="339">
        <f t="shared" si="26"/>
        <v>2.0667899488741432E-3</v>
      </c>
    </row>
    <row r="30" spans="1:13">
      <c r="A30" s="103"/>
      <c r="B30" s="98" t="s">
        <v>38</v>
      </c>
      <c r="C30" s="99">
        <f t="shared" si="27"/>
        <v>2.7292020075729462</v>
      </c>
      <c r="D30" s="99">
        <f t="shared" si="28"/>
        <v>50.656084170410431</v>
      </c>
      <c r="E30" s="99">
        <f t="shared" si="29"/>
        <v>0.11056468687395729</v>
      </c>
      <c r="F30" s="107">
        <f t="shared" si="30"/>
        <v>53.495850864857339</v>
      </c>
      <c r="H30" s="337" t="s">
        <v>42</v>
      </c>
      <c r="J30" s="339">
        <f t="shared" si="24"/>
        <v>1.8068188849699896E-2</v>
      </c>
      <c r="K30" s="339">
        <f t="shared" si="25"/>
        <v>0.97840480168306421</v>
      </c>
      <c r="L30" s="339">
        <f t="shared" si="26"/>
        <v>3.5270094672359385E-3</v>
      </c>
    </row>
    <row r="31" spans="1:13">
      <c r="A31" s="103"/>
      <c r="B31" s="98" t="s">
        <v>42</v>
      </c>
      <c r="C31" s="99">
        <f t="shared" si="27"/>
        <v>0.26761701070640814</v>
      </c>
      <c r="D31" s="99">
        <f t="shared" si="28"/>
        <v>14.491644429074404</v>
      </c>
      <c r="E31" s="99">
        <f t="shared" si="29"/>
        <v>5.2240306884470081E-2</v>
      </c>
      <c r="F31" s="107">
        <f t="shared" si="30"/>
        <v>14.811501746665281</v>
      </c>
    </row>
    <row r="32" spans="1:13">
      <c r="A32" s="104"/>
      <c r="B32" s="100" t="s">
        <v>0</v>
      </c>
      <c r="C32" s="105">
        <f>SUM(C27:C31)</f>
        <v>1682.1170310324273</v>
      </c>
      <c r="D32" s="105">
        <f>SUM(D27:D31)</f>
        <v>714.72708029783371</v>
      </c>
      <c r="E32" s="105">
        <f>SUM(E27:E31)</f>
        <v>307.15237978185991</v>
      </c>
      <c r="F32" s="106">
        <f t="shared" si="18"/>
        <v>2703.996491112121</v>
      </c>
    </row>
    <row r="33" spans="1:10">
      <c r="A33" s="102">
        <v>2015</v>
      </c>
      <c r="B33" s="98" t="s">
        <v>41</v>
      </c>
      <c r="C33" s="99">
        <f>J26*F33</f>
        <v>1448.9081278861181</v>
      </c>
      <c r="D33" s="99">
        <f>K26*F33</f>
        <v>495.35769792768014</v>
      </c>
      <c r="E33" s="99">
        <f>L26*F33</f>
        <v>299.73417418620164</v>
      </c>
      <c r="F33" s="99">
        <f>5+380+1021+459+53+11+166+135+5+4+5</f>
        <v>2244</v>
      </c>
      <c r="I33" s="340"/>
    </row>
    <row r="34" spans="1:10">
      <c r="A34" s="103"/>
      <c r="B34" s="98" t="s">
        <v>40</v>
      </c>
      <c r="C34" s="99">
        <f t="shared" ref="C34:C37" si="31">J27*F34</f>
        <v>210.17703904541656</v>
      </c>
      <c r="D34" s="99">
        <f t="shared" ref="D34:D37" si="32">K27*F34</f>
        <v>1.8178457657778657</v>
      </c>
      <c r="E34" s="99">
        <f t="shared" ref="E34:E37" si="33">L27*F34</f>
        <v>11.005115188805554</v>
      </c>
      <c r="F34" s="99">
        <f>107+116</f>
        <v>223</v>
      </c>
      <c r="I34" s="340"/>
      <c r="J34" s="339"/>
    </row>
    <row r="35" spans="1:10">
      <c r="A35" s="103"/>
      <c r="B35" s="98" t="s">
        <v>39</v>
      </c>
      <c r="C35" s="99">
        <f t="shared" si="31"/>
        <v>132.67129263676023</v>
      </c>
      <c r="D35" s="99">
        <f t="shared" si="32"/>
        <v>191.75970876897637</v>
      </c>
      <c r="E35" s="99">
        <f t="shared" si="33"/>
        <v>17.568998594263398</v>
      </c>
      <c r="F35" s="99">
        <f>69+1+47+1+34+10+7+2+2+19+1+1+1+2+1+2+4+51+1+67+1+1+1+5+2+1+2+1+1+2+2</f>
        <v>342</v>
      </c>
      <c r="I35" s="340"/>
      <c r="J35" s="339"/>
    </row>
    <row r="36" spans="1:10">
      <c r="A36" s="103"/>
      <c r="B36" s="98" t="s">
        <v>38</v>
      </c>
      <c r="C36" s="99">
        <f t="shared" si="31"/>
        <v>2.805939301642554</v>
      </c>
      <c r="D36" s="99">
        <f t="shared" si="32"/>
        <v>52.080387251169363</v>
      </c>
      <c r="E36" s="99">
        <f t="shared" si="33"/>
        <v>0.11367344718807787</v>
      </c>
      <c r="F36" s="99">
        <f>7+3+1+8+36</f>
        <v>55</v>
      </c>
      <c r="I36" s="340"/>
      <c r="J36" s="339"/>
    </row>
    <row r="37" spans="1:10">
      <c r="A37" s="103"/>
      <c r="B37" s="98" t="s">
        <v>42</v>
      </c>
      <c r="C37" s="99">
        <f t="shared" si="31"/>
        <v>0.30715921044489825</v>
      </c>
      <c r="D37" s="99">
        <f t="shared" si="32"/>
        <v>16.63288162861209</v>
      </c>
      <c r="E37" s="99">
        <f t="shared" si="33"/>
        <v>5.9959160943010958E-2</v>
      </c>
      <c r="F37" s="99">
        <f>1+15+1</f>
        <v>17</v>
      </c>
      <c r="I37" s="340"/>
      <c r="J37" s="339"/>
    </row>
    <row r="38" spans="1:10">
      <c r="A38" s="104"/>
      <c r="B38" s="100" t="s">
        <v>0</v>
      </c>
      <c r="C38" s="105">
        <f>SUM(C33:C37)</f>
        <v>1794.8695580803826</v>
      </c>
      <c r="D38" s="105">
        <f>SUM(D33:D37)</f>
        <v>757.64852134221576</v>
      </c>
      <c r="E38" s="105">
        <f>SUM(E33:E37)</f>
        <v>328.48192057740175</v>
      </c>
      <c r="F38" s="106">
        <f t="shared" si="18"/>
        <v>2881</v>
      </c>
      <c r="I38" s="340"/>
      <c r="J38" s="339"/>
    </row>
    <row r="39" spans="1:10">
      <c r="A39" s="102">
        <v>2016</v>
      </c>
      <c r="B39" s="98" t="s">
        <v>41</v>
      </c>
      <c r="C39" s="99">
        <f>C33+C33*$P$3</f>
        <v>1546.615054486515</v>
      </c>
      <c r="D39" s="99">
        <f>D33+D33*$P$3</f>
        <v>528.76207830269698</v>
      </c>
      <c r="E39" s="99">
        <f>E33+E33*$P$3</f>
        <v>319.94670829598584</v>
      </c>
      <c r="F39" s="107">
        <f>C39+D39+E39</f>
        <v>2395.3238410851977</v>
      </c>
      <c r="I39" s="340"/>
    </row>
    <row r="40" spans="1:10">
      <c r="A40" s="103"/>
      <c r="B40" s="98" t="s">
        <v>40</v>
      </c>
      <c r="C40" s="99">
        <f>C34+C34*$P$4</f>
        <v>221.05381464300689</v>
      </c>
      <c r="D40" s="99">
        <f t="shared" ref="D40:E40" si="34">D34+D34*$P$4</f>
        <v>1.9119202686598056</v>
      </c>
      <c r="E40" s="99">
        <f t="shared" si="34"/>
        <v>11.574635859940356</v>
      </c>
      <c r="F40" s="107">
        <f t="shared" si="18"/>
        <v>234.54037077160703</v>
      </c>
      <c r="I40" s="340"/>
    </row>
    <row r="41" spans="1:10">
      <c r="A41" s="103"/>
      <c r="B41" s="98" t="s">
        <v>39</v>
      </c>
      <c r="C41" s="99">
        <f>C35+C35*$P$5</f>
        <v>136.72383799292001</v>
      </c>
      <c r="D41" s="99">
        <f t="shared" ref="D41:E41" si="35">D35+D35*$P$5</f>
        <v>197.61715465516309</v>
      </c>
      <c r="E41" s="99">
        <f t="shared" si="35"/>
        <v>18.105656994513524</v>
      </c>
      <c r="F41" s="107">
        <f t="shared" si="18"/>
        <v>352.44664964259664</v>
      </c>
      <c r="I41" s="340"/>
    </row>
    <row r="42" spans="1:10">
      <c r="A42" s="103"/>
      <c r="B42" s="98" t="s">
        <v>38</v>
      </c>
      <c r="C42" s="99">
        <f>C36+C36*$P$6</f>
        <v>2.8826765957121623</v>
      </c>
      <c r="D42" s="99">
        <f t="shared" ref="D42:E42" si="36">D36+D36*$P$6</f>
        <v>53.504690331928295</v>
      </c>
      <c r="E42" s="99">
        <f t="shared" si="36"/>
        <v>0.11678220750219846</v>
      </c>
      <c r="F42" s="107">
        <f t="shared" si="18"/>
        <v>56.504149135142654</v>
      </c>
      <c r="I42" s="340"/>
    </row>
    <row r="43" spans="1:10">
      <c r="A43" s="103"/>
      <c r="B43" s="98" t="s">
        <v>42</v>
      </c>
      <c r="C43" s="99">
        <f>C37+C37*$P$7</f>
        <v>0.34670141018338829</v>
      </c>
      <c r="D43" s="99">
        <f t="shared" ref="D43:E43" si="37">D37+D37*$P$7</f>
        <v>18.774118828149778</v>
      </c>
      <c r="E43" s="99">
        <f t="shared" si="37"/>
        <v>6.7678015001551822E-2</v>
      </c>
      <c r="F43" s="107">
        <f t="shared" si="18"/>
        <v>19.188498253334718</v>
      </c>
      <c r="I43" s="340"/>
    </row>
    <row r="44" spans="1:10">
      <c r="A44" s="104"/>
      <c r="B44" s="100" t="s">
        <v>0</v>
      </c>
      <c r="C44" s="105">
        <f>SUM(C39:C43)</f>
        <v>1907.6220851283374</v>
      </c>
      <c r="D44" s="105">
        <f>SUM(D39:D43)</f>
        <v>800.56996238659792</v>
      </c>
      <c r="E44" s="105">
        <f>SUM(E39:E43)</f>
        <v>349.81146137294348</v>
      </c>
      <c r="F44" s="106">
        <f t="shared" si="18"/>
        <v>3058.003508887879</v>
      </c>
    </row>
    <row r="45" spans="1:10">
      <c r="A45" s="102">
        <v>2017</v>
      </c>
      <c r="B45" s="98" t="s">
        <v>41</v>
      </c>
      <c r="C45" s="99">
        <f>C39+C39*$P$3</f>
        <v>1650.9108346670373</v>
      </c>
      <c r="D45" s="99">
        <f t="shared" ref="D45:E45" si="38">D39+D39*$P$3</f>
        <v>564.41907861863115</v>
      </c>
      <c r="E45" s="99">
        <f t="shared" si="38"/>
        <v>341.52227195102768</v>
      </c>
      <c r="F45" s="107">
        <f t="shared" si="18"/>
        <v>2556.8521852366957</v>
      </c>
    </row>
    <row r="46" spans="1:10">
      <c r="A46" s="103"/>
      <c r="B46" s="98" t="s">
        <v>40</v>
      </c>
      <c r="C46" s="99">
        <f t="shared" ref="C46:E49" si="39">C40+C40*$P$3</f>
        <v>235.9605491877106</v>
      </c>
      <c r="D46" s="99">
        <f t="shared" si="39"/>
        <v>2.0408503572971699</v>
      </c>
      <c r="E46" s="99">
        <f t="shared" si="39"/>
        <v>12.355169887341713</v>
      </c>
      <c r="F46" s="107">
        <f t="shared" si="18"/>
        <v>250.35656943234946</v>
      </c>
    </row>
    <row r="47" spans="1:10">
      <c r="A47" s="103"/>
      <c r="B47" s="98" t="s">
        <v>39</v>
      </c>
      <c r="C47" s="99">
        <f t="shared" si="39"/>
        <v>145.94379179550421</v>
      </c>
      <c r="D47" s="99">
        <f t="shared" si="39"/>
        <v>210.94344115549592</v>
      </c>
      <c r="E47" s="99">
        <f t="shared" si="39"/>
        <v>19.326609562152054</v>
      </c>
      <c r="F47" s="107">
        <f t="shared" si="18"/>
        <v>376.21384251315214</v>
      </c>
    </row>
    <row r="48" spans="1:10">
      <c r="A48" s="103"/>
      <c r="B48" s="98" t="s">
        <v>38</v>
      </c>
      <c r="C48" s="99">
        <f t="shared" si="39"/>
        <v>3.0770695079535022</v>
      </c>
      <c r="D48" s="99">
        <f t="shared" si="39"/>
        <v>57.11277199730327</v>
      </c>
      <c r="E48" s="99">
        <f t="shared" si="39"/>
        <v>0.12465740010899047</v>
      </c>
      <c r="F48" s="107">
        <f t="shared" si="18"/>
        <v>60.314498905365767</v>
      </c>
    </row>
    <row r="49" spans="1:6">
      <c r="A49" s="103"/>
      <c r="B49" s="98" t="s">
        <v>42</v>
      </c>
      <c r="C49" s="99">
        <f t="shared" si="39"/>
        <v>0.37008117359631387</v>
      </c>
      <c r="D49" s="99">
        <f t="shared" si="39"/>
        <v>20.040149030496284</v>
      </c>
      <c r="E49" s="99">
        <f t="shared" si="39"/>
        <v>7.2241872928047568E-2</v>
      </c>
      <c r="F49" s="107">
        <f t="shared" si="18"/>
        <v>20.482472077020645</v>
      </c>
    </row>
    <row r="50" spans="1:6">
      <c r="A50" s="104"/>
      <c r="B50" s="100" t="s">
        <v>0</v>
      </c>
      <c r="C50" s="105">
        <f>SUM(C45:C49)</f>
        <v>2036.2623263318019</v>
      </c>
      <c r="D50" s="105">
        <f>SUM(D45:D49)</f>
        <v>854.55629115922386</v>
      </c>
      <c r="E50" s="105">
        <f>SUM(E45:E49)</f>
        <v>373.4009506735585</v>
      </c>
      <c r="F50" s="106">
        <f t="shared" si="18"/>
        <v>3264.219568164584</v>
      </c>
    </row>
    <row r="51" spans="1:6">
      <c r="A51" s="102">
        <v>2018</v>
      </c>
      <c r="B51" s="98" t="s">
        <v>41</v>
      </c>
      <c r="C51" s="99">
        <f>C45+C45*$P$3</f>
        <v>1762.2397868911844</v>
      </c>
      <c r="D51" s="99">
        <f t="shared" ref="D51:E51" si="40">D45+D45*$P$3</f>
        <v>602.48060400113536</v>
      </c>
      <c r="E51" s="99">
        <f t="shared" si="40"/>
        <v>364.55278086714759</v>
      </c>
      <c r="F51" s="107">
        <f t="shared" ref="F51:F62" si="41">C51+D51+E51</f>
        <v>2729.2731717594675</v>
      </c>
    </row>
    <row r="52" spans="1:6">
      <c r="A52" s="103"/>
      <c r="B52" s="98" t="s">
        <v>40</v>
      </c>
      <c r="C52" s="99">
        <f t="shared" ref="C52:E52" si="42">C46+C46*$P$3</f>
        <v>251.87251739076635</v>
      </c>
      <c r="D52" s="99">
        <f t="shared" si="42"/>
        <v>2.1784748292875022</v>
      </c>
      <c r="E52" s="99">
        <f t="shared" si="42"/>
        <v>13.188339122908879</v>
      </c>
      <c r="F52" s="107">
        <f t="shared" si="41"/>
        <v>267.23933134296271</v>
      </c>
    </row>
    <row r="53" spans="1:6">
      <c r="A53" s="103"/>
      <c r="B53" s="98" t="s">
        <v>39</v>
      </c>
      <c r="C53" s="99">
        <f t="shared" ref="C53:E53" si="43">C47+C47*$P$3</f>
        <v>155.78549195461031</v>
      </c>
      <c r="D53" s="99">
        <f t="shared" si="43"/>
        <v>225.16838401083416</v>
      </c>
      <c r="E53" s="99">
        <f t="shared" si="43"/>
        <v>20.62989690355079</v>
      </c>
      <c r="F53" s="107">
        <f t="shared" si="41"/>
        <v>401.58377286899525</v>
      </c>
    </row>
    <row r="54" spans="1:6">
      <c r="A54" s="103"/>
      <c r="B54" s="98" t="s">
        <v>38</v>
      </c>
      <c r="C54" s="99">
        <f t="shared" ref="C54:E54" si="44">C48+C48*$P$3</f>
        <v>3.2845712803374876</v>
      </c>
      <c r="D54" s="99">
        <f t="shared" si="44"/>
        <v>60.964164169163809</v>
      </c>
      <c r="E54" s="99">
        <f t="shared" si="44"/>
        <v>0.1330636552801967</v>
      </c>
      <c r="F54" s="107">
        <f t="shared" si="41"/>
        <v>64.381799104781493</v>
      </c>
    </row>
    <row r="55" spans="1:6">
      <c r="A55" s="103"/>
      <c r="B55" s="98" t="s">
        <v>42</v>
      </c>
      <c r="C55" s="99">
        <f t="shared" ref="C55:E55" si="45">C49+C49*$P$3</f>
        <v>0.39503754824065973</v>
      </c>
      <c r="D55" s="99">
        <f t="shared" si="45"/>
        <v>21.391553810894901</v>
      </c>
      <c r="E55" s="99">
        <f t="shared" si="45"/>
        <v>7.7113494005882202E-2</v>
      </c>
      <c r="F55" s="107">
        <f t="shared" si="41"/>
        <v>21.863704853141442</v>
      </c>
    </row>
    <row r="56" spans="1:6">
      <c r="A56" s="104"/>
      <c r="B56" s="100" t="s">
        <v>0</v>
      </c>
      <c r="C56" s="105">
        <f>SUM(C51:C55)</f>
        <v>2173.5774050651389</v>
      </c>
      <c r="D56" s="105">
        <f>SUM(D51:D55)</f>
        <v>912.18318082131589</v>
      </c>
      <c r="E56" s="105">
        <f>SUM(E51:E55)</f>
        <v>398.58119404289329</v>
      </c>
      <c r="F56" s="106">
        <f t="shared" si="41"/>
        <v>3484.3417799293484</v>
      </c>
    </row>
    <row r="57" spans="1:6">
      <c r="A57" s="102">
        <v>2019</v>
      </c>
      <c r="B57" s="98" t="s">
        <v>41</v>
      </c>
      <c r="C57" s="99">
        <f>C51+C51*$P$3</f>
        <v>1881.0761921788558</v>
      </c>
      <c r="D57" s="99">
        <f t="shared" ref="D57:E57" si="46">D51+D51*$P$3</f>
        <v>643.10880327777613</v>
      </c>
      <c r="E57" s="99">
        <f t="shared" si="46"/>
        <v>389.13634908421852</v>
      </c>
      <c r="F57" s="107">
        <f t="shared" si="41"/>
        <v>2913.3213445408505</v>
      </c>
    </row>
    <row r="58" spans="1:6">
      <c r="A58" s="103"/>
      <c r="B58" s="98" t="s">
        <v>40</v>
      </c>
      <c r="C58" s="99">
        <f t="shared" ref="C58:E58" si="47">C52+C52*$P$3</f>
        <v>268.8575070500217</v>
      </c>
      <c r="D58" s="99">
        <f t="shared" si="47"/>
        <v>2.3253799892140643</v>
      </c>
      <c r="E58" s="99">
        <f t="shared" si="47"/>
        <v>14.077693014893175</v>
      </c>
      <c r="F58" s="107">
        <f t="shared" si="41"/>
        <v>285.26058005412892</v>
      </c>
    </row>
    <row r="59" spans="1:6">
      <c r="A59" s="103"/>
      <c r="B59" s="98" t="s">
        <v>39</v>
      </c>
      <c r="C59" s="99">
        <f t="shared" ref="C59:E59" si="48">C53+C53*$P$3</f>
        <v>166.29086585296986</v>
      </c>
      <c r="D59" s="99">
        <f t="shared" si="48"/>
        <v>240.352583992771</v>
      </c>
      <c r="E59" s="99">
        <f t="shared" si="48"/>
        <v>22.021071253210742</v>
      </c>
      <c r="F59" s="107">
        <f t="shared" si="41"/>
        <v>428.66452109895158</v>
      </c>
    </row>
    <row r="60" spans="1:6">
      <c r="A60" s="103"/>
      <c r="B60" s="98" t="s">
        <v>38</v>
      </c>
      <c r="C60" s="99">
        <f t="shared" ref="C60:E60" si="49">C54+C54*$P$3</f>
        <v>3.5060659071016564</v>
      </c>
      <c r="D60" s="99">
        <f t="shared" si="49"/>
        <v>65.075274459104293</v>
      </c>
      <c r="E60" s="99">
        <f t="shared" si="49"/>
        <v>0.14203678514910759</v>
      </c>
      <c r="F60" s="107">
        <f t="shared" si="41"/>
        <v>68.723377151355052</v>
      </c>
    </row>
    <row r="61" spans="1:6">
      <c r="A61" s="103"/>
      <c r="B61" s="98" t="s">
        <v>42</v>
      </c>
      <c r="C61" s="99">
        <f t="shared" ref="C61:E61" si="50">C55+C55*$P$3</f>
        <v>0.42167685268480221</v>
      </c>
      <c r="D61" s="99">
        <f t="shared" si="50"/>
        <v>22.834090392644153</v>
      </c>
      <c r="E61" s="99">
        <f t="shared" si="50"/>
        <v>8.2313632202170292E-2</v>
      </c>
      <c r="F61" s="107">
        <f t="shared" si="41"/>
        <v>23.338080877531123</v>
      </c>
    </row>
    <row r="62" spans="1:6">
      <c r="A62" s="104"/>
      <c r="B62" s="100" t="s">
        <v>0</v>
      </c>
      <c r="C62" s="105">
        <f>SUM(C57:C61)</f>
        <v>2320.152307841634</v>
      </c>
      <c r="D62" s="105">
        <f>SUM(D57:D61)</f>
        <v>973.69613211150966</v>
      </c>
      <c r="E62" s="105">
        <f>SUM(E57:E61)</f>
        <v>425.45946376967368</v>
      </c>
      <c r="F62" s="106">
        <f t="shared" si="41"/>
        <v>3719.3079037228172</v>
      </c>
    </row>
    <row r="63" spans="1:6">
      <c r="A63" s="102">
        <v>2020</v>
      </c>
      <c r="B63" s="98" t="s">
        <v>41</v>
      </c>
      <c r="C63" s="99">
        <f>C57+C57*$P$3</f>
        <v>2007.9263146273504</v>
      </c>
      <c r="D63" s="99">
        <f t="shared" ref="D63:E63" si="51">D57+D57*$P$3</f>
        <v>686.47675976070752</v>
      </c>
      <c r="E63" s="99">
        <f t="shared" si="51"/>
        <v>415.37770694932294</v>
      </c>
      <c r="F63" s="107">
        <f t="shared" ref="F63:F68" si="52">C63+D63+E63</f>
        <v>3109.7807813373811</v>
      </c>
    </row>
    <row r="64" spans="1:6">
      <c r="A64" s="103"/>
      <c r="B64" s="98" t="s">
        <v>40</v>
      </c>
      <c r="C64" s="99">
        <f t="shared" ref="C64:E64" si="53">C58+C58*$P$3</f>
        <v>286.98787722444234</v>
      </c>
      <c r="D64" s="99">
        <f t="shared" si="53"/>
        <v>2.4821916790315903</v>
      </c>
      <c r="E64" s="99">
        <f t="shared" si="53"/>
        <v>15.027020368115943</v>
      </c>
      <c r="F64" s="107">
        <f t="shared" si="52"/>
        <v>304.49708927158986</v>
      </c>
    </row>
    <row r="65" spans="1:6">
      <c r="A65" s="103"/>
      <c r="B65" s="98" t="s">
        <v>39</v>
      </c>
      <c r="C65" s="99">
        <f t="shared" ref="C65:E65" si="54">C59+C59*$P$3</f>
        <v>177.50466824078393</v>
      </c>
      <c r="D65" s="99">
        <f t="shared" si="54"/>
        <v>256.56072847785958</v>
      </c>
      <c r="E65" s="99">
        <f t="shared" si="54"/>
        <v>23.506059259826909</v>
      </c>
      <c r="F65" s="107">
        <f t="shared" si="52"/>
        <v>457.5714559784704</v>
      </c>
    </row>
    <row r="66" spans="1:6">
      <c r="A66" s="103"/>
      <c r="B66" s="98" t="s">
        <v>38</v>
      </c>
      <c r="C66" s="99">
        <f t="shared" ref="C66:E66" si="55">C60+C60*$P$3</f>
        <v>3.7424969945172006</v>
      </c>
      <c r="D66" s="99">
        <f t="shared" si="55"/>
        <v>69.463616923821377</v>
      </c>
      <c r="E66" s="99">
        <f t="shared" si="55"/>
        <v>0.15161501683545159</v>
      </c>
      <c r="F66" s="107">
        <f t="shared" si="52"/>
        <v>73.357728935174023</v>
      </c>
    </row>
    <row r="67" spans="1:6">
      <c r="A67" s="103"/>
      <c r="B67" s="98" t="s">
        <v>42</v>
      </c>
      <c r="C67" s="99">
        <f t="shared" ref="C67:E67" si="56">C61+C61*$P$3</f>
        <v>0.45011257507561386</v>
      </c>
      <c r="D67" s="99">
        <f t="shared" si="56"/>
        <v>24.373904236628789</v>
      </c>
      <c r="E67" s="99">
        <f t="shared" si="56"/>
        <v>8.7864441025034212E-2</v>
      </c>
      <c r="F67" s="107">
        <f t="shared" si="52"/>
        <v>24.911881252729437</v>
      </c>
    </row>
    <row r="68" spans="1:6">
      <c r="A68" s="104"/>
      <c r="B68" s="100" t="s">
        <v>0</v>
      </c>
      <c r="C68" s="105">
        <f>SUM(C63:C67)</f>
        <v>2476.6114696621694</v>
      </c>
      <c r="D68" s="105">
        <f>SUM(D63:D67)</f>
        <v>1039.357201078049</v>
      </c>
      <c r="E68" s="105">
        <f>SUM(E63:E67)</f>
        <v>454.15026603512626</v>
      </c>
      <c r="F68" s="106">
        <f t="shared" si="52"/>
        <v>3970.1189367753445</v>
      </c>
    </row>
  </sheetData>
  <mergeCells count="3">
    <mergeCell ref="A1:A2"/>
    <mergeCell ref="B1:B2"/>
    <mergeCell ref="C1:F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rowBreaks count="1" manualBreakCount="1">
    <brk id="50" max="5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view="pageBreakPreview" zoomScaleNormal="100" zoomScaleSheetLayoutView="100" workbookViewId="0">
      <selection activeCell="C25" sqref="C25"/>
    </sheetView>
  </sheetViews>
  <sheetFormatPr defaultColWidth="8.88671875" defaultRowHeight="14.4"/>
  <cols>
    <col min="1" max="1" width="16.33203125" style="93" customWidth="1"/>
    <col min="2" max="2" width="11" style="93" customWidth="1"/>
    <col min="3" max="3" width="10.109375" style="93" customWidth="1"/>
    <col min="4" max="4" width="9.44140625" style="93" bestFit="1" customWidth="1"/>
    <col min="5" max="8" width="10" style="93" bestFit="1" customWidth="1"/>
    <col min="9" max="16384" width="8.88671875" style="93"/>
  </cols>
  <sheetData>
    <row r="1" spans="1:8">
      <c r="A1" s="457" t="s">
        <v>170</v>
      </c>
      <c r="B1" s="457"/>
      <c r="C1" s="457"/>
      <c r="D1" s="457"/>
      <c r="E1" s="457"/>
      <c r="F1" s="457"/>
      <c r="G1" s="457"/>
      <c r="H1" s="457"/>
    </row>
    <row r="2" spans="1:8">
      <c r="A2" s="457" t="s">
        <v>172</v>
      </c>
      <c r="B2" s="145">
        <v>2010</v>
      </c>
      <c r="C2" s="145">
        <v>2015</v>
      </c>
      <c r="D2" s="145">
        <v>2016</v>
      </c>
      <c r="E2" s="145">
        <v>2017</v>
      </c>
      <c r="F2" s="145">
        <v>2018</v>
      </c>
      <c r="G2" s="145">
        <v>2019</v>
      </c>
      <c r="H2" s="145">
        <v>2020</v>
      </c>
    </row>
    <row r="3" spans="1:8">
      <c r="A3" s="457"/>
      <c r="B3" s="457" t="s">
        <v>1</v>
      </c>
      <c r="C3" s="457"/>
      <c r="D3" s="457"/>
      <c r="E3" s="457"/>
      <c r="F3" s="457"/>
      <c r="G3" s="457"/>
      <c r="H3" s="457"/>
    </row>
    <row r="4" spans="1:8">
      <c r="A4" s="109" t="s">
        <v>140</v>
      </c>
      <c r="B4" s="96">
        <f>'Transport- rok bazowy '!F61</f>
        <v>19879.013356553864</v>
      </c>
      <c r="C4" s="96">
        <f>'Transport- rok kontrolny'!F61</f>
        <v>20351.97697096537</v>
      </c>
      <c r="D4" s="96">
        <f>C4*'Prognoza transport lokalny'!F44/'Prognoza transport lokalny'!F38</f>
        <v>21602.366188829368</v>
      </c>
      <c r="E4" s="96">
        <f>D4*'Prognoza transport lokalny'!F50/'Prognoza transport lokalny'!F44</f>
        <v>23059.118875203105</v>
      </c>
      <c r="F4" s="96">
        <f>E4*'Prognoza transport lokalny'!F56/'Prognoza transport lokalny'!F50</f>
        <v>24614.107484933909</v>
      </c>
      <c r="G4" s="96">
        <f>F4*'Prognoza transport lokalny'!F62/'Prognoza transport lokalny'!F56</f>
        <v>26273.956544427721</v>
      </c>
      <c r="H4" s="96">
        <f>G4*'Prognoza transport lokalny'!F68/'Prognoza transport lokalny'!F62</f>
        <v>28045.737304146245</v>
      </c>
    </row>
    <row r="22" spans="1:8">
      <c r="A22" s="457" t="s">
        <v>171</v>
      </c>
      <c r="B22" s="457"/>
      <c r="C22" s="457"/>
      <c r="D22" s="457"/>
      <c r="E22" s="457"/>
      <c r="F22" s="457"/>
      <c r="G22" s="457"/>
      <c r="H22" s="457"/>
    </row>
    <row r="23" spans="1:8">
      <c r="A23" s="457" t="s">
        <v>139</v>
      </c>
      <c r="B23" s="145">
        <v>2010</v>
      </c>
      <c r="C23" s="145">
        <v>2015</v>
      </c>
      <c r="D23" s="145">
        <v>2016</v>
      </c>
      <c r="E23" s="145">
        <v>2017</v>
      </c>
      <c r="F23" s="145">
        <v>2018</v>
      </c>
      <c r="G23" s="145">
        <v>2019</v>
      </c>
      <c r="H23" s="145">
        <v>2020</v>
      </c>
    </row>
    <row r="24" spans="1:8">
      <c r="A24" s="457"/>
      <c r="B24" s="457" t="s">
        <v>104</v>
      </c>
      <c r="C24" s="457"/>
      <c r="D24" s="457"/>
      <c r="E24" s="457"/>
      <c r="F24" s="457"/>
      <c r="G24" s="457"/>
      <c r="H24" s="457"/>
    </row>
    <row r="25" spans="1:8">
      <c r="A25" s="109" t="s">
        <v>140</v>
      </c>
      <c r="B25" s="96">
        <f>'Transport- rok bazowy '!F62</f>
        <v>6146.4324567882777</v>
      </c>
      <c r="C25" s="96">
        <f>'Transport- rok kontrolny'!F62</f>
        <v>5144.2600818019446</v>
      </c>
      <c r="D25" s="96">
        <f>C25*'Prognoza transport lokalny'!F44/'Prognoza transport lokalny'!F38</f>
        <v>5460.31425920937</v>
      </c>
      <c r="E25" s="96">
        <f>D25*'Prognoza transport lokalny'!F50/'Prognoza transport lokalny'!F44</f>
        <v>5828.5298239312224</v>
      </c>
      <c r="F25" s="96">
        <f>E25*'Prognoza transport lokalny'!F56/'Prognoza transport lokalny'!F50</f>
        <v>6221.5759562114836</v>
      </c>
      <c r="G25" s="96">
        <f>F25*'Prognoza transport lokalny'!F62/'Prognoza transport lokalny'!F56</f>
        <v>6641.127102065866</v>
      </c>
      <c r="H25" s="96">
        <f>G25*'Prognoza transport lokalny'!F68/'Prognoza transport lokalny'!F62</f>
        <v>7088.970623554108</v>
      </c>
    </row>
  </sheetData>
  <mergeCells count="6">
    <mergeCell ref="A1:H1"/>
    <mergeCell ref="A2:A3"/>
    <mergeCell ref="B3:H3"/>
    <mergeCell ref="A22:H22"/>
    <mergeCell ref="A23:A24"/>
    <mergeCell ref="B24:H24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 differentFirst="1">
    <oddFooter>Strona &amp;P z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view="pageBreakPreview" topLeftCell="A28" zoomScale="70" zoomScaleNormal="100" zoomScaleSheetLayoutView="70" workbookViewId="0">
      <selection activeCell="H56" sqref="B51:H56"/>
    </sheetView>
  </sheetViews>
  <sheetFormatPr defaultColWidth="9.109375" defaultRowHeight="14.4"/>
  <cols>
    <col min="1" max="1" width="29.6640625" style="97" customWidth="1"/>
    <col min="2" max="2" width="16.33203125" style="97" customWidth="1"/>
    <col min="3" max="3" width="16" style="97" customWidth="1"/>
    <col min="4" max="7" width="14.88671875" style="97" customWidth="1"/>
    <col min="8" max="8" width="15.6640625" style="97" customWidth="1"/>
    <col min="9" max="9" width="10.5546875" style="171" bestFit="1" customWidth="1"/>
    <col min="10" max="10" width="15.6640625" style="171" customWidth="1"/>
    <col min="11" max="13" width="9.109375" style="171"/>
    <col min="14" max="14" width="26.44140625" style="171" customWidth="1"/>
    <col min="15" max="15" width="13.6640625" style="171" customWidth="1"/>
    <col min="16" max="16" width="9.109375" style="171"/>
    <col min="17" max="17" width="9.109375" style="188"/>
    <col min="18" max="19" width="9.109375" style="183"/>
    <col min="20" max="16384" width="9.109375" style="97"/>
  </cols>
  <sheetData>
    <row r="1" spans="1:15" ht="14.4" customHeight="1">
      <c r="A1" s="458" t="s">
        <v>69</v>
      </c>
      <c r="B1" s="459" t="s">
        <v>28</v>
      </c>
      <c r="C1" s="460"/>
      <c r="D1" s="460"/>
      <c r="E1" s="460"/>
      <c r="F1" s="460"/>
      <c r="G1" s="460"/>
      <c r="H1" s="461"/>
    </row>
    <row r="2" spans="1:15" ht="13.95" customHeight="1">
      <c r="A2" s="458"/>
      <c r="B2" s="458" t="s">
        <v>34</v>
      </c>
      <c r="C2" s="458"/>
      <c r="D2" s="458"/>
      <c r="E2" s="239" t="s">
        <v>151</v>
      </c>
      <c r="F2" s="239" t="s">
        <v>80</v>
      </c>
      <c r="G2" s="239" t="str">
        <f>E2</f>
        <v>[%]</v>
      </c>
      <c r="H2" s="240" t="str">
        <f>F2</f>
        <v>[MWh/rok]</v>
      </c>
      <c r="M2" s="171" t="s">
        <v>138</v>
      </c>
      <c r="O2" s="171" t="s">
        <v>141</v>
      </c>
    </row>
    <row r="3" spans="1:15" ht="75" customHeight="1">
      <c r="A3" s="239"/>
      <c r="B3" s="239">
        <v>2010</v>
      </c>
      <c r="C3" s="239">
        <v>2015</v>
      </c>
      <c r="D3" s="241" t="s">
        <v>148</v>
      </c>
      <c r="E3" s="241" t="s">
        <v>149</v>
      </c>
      <c r="F3" s="241" t="s">
        <v>160</v>
      </c>
      <c r="G3" s="241" t="s">
        <v>218</v>
      </c>
      <c r="H3" s="242" t="s">
        <v>150</v>
      </c>
      <c r="M3" s="171" t="s">
        <v>16</v>
      </c>
      <c r="O3" s="179" t="e">
        <f>#REF!/'Prognozy ogolne'!D21</f>
        <v>#REF!</v>
      </c>
    </row>
    <row r="4" spans="1:15">
      <c r="A4" s="238" t="s">
        <v>70</v>
      </c>
      <c r="B4" s="129">
        <f>Podsumowanie!B5</f>
        <v>1325.9892353279999</v>
      </c>
      <c r="C4" s="110">
        <f>Podsumowanie!B14</f>
        <v>1151.2604445440002</v>
      </c>
      <c r="D4" s="130">
        <f>C4</f>
        <v>1151.2604445440002</v>
      </c>
      <c r="E4" s="236">
        <f>D4/B4-1</f>
        <v>-0.13177240518153865</v>
      </c>
      <c r="F4" s="130">
        <f>'PLAN DZIAŁAŃ'!E3+'PLAN DZIAŁAŃ'!E4+'PLAN DZIAŁAŃ'!E5+'PLAN DZIAŁAŃ'!E6+'PLAN DZIAŁAŃ'!E7+'PLAN DZIAŁAŃ'!E8</f>
        <v>247.71306818688004</v>
      </c>
      <c r="G4" s="236">
        <f>H4/B4-1</f>
        <v>-0.31858619038214409</v>
      </c>
      <c r="H4" s="175">
        <f>D4-F4</f>
        <v>903.54737635712013</v>
      </c>
      <c r="I4" s="172">
        <v>327.52274827820838</v>
      </c>
      <c r="M4" s="171" t="s">
        <v>142</v>
      </c>
      <c r="O4" s="180" t="e">
        <f>(#REF!-#REF!)/'Prognozy ogolne'!$I$54</f>
        <v>#REF!</v>
      </c>
    </row>
    <row r="5" spans="1:15">
      <c r="A5" s="238" t="s">
        <v>71</v>
      </c>
      <c r="B5" s="129">
        <f>Podsumowanie!B6</f>
        <v>78785.983809559504</v>
      </c>
      <c r="C5" s="110">
        <f>Podsumowanie!B15</f>
        <v>81493.652748475943</v>
      </c>
      <c r="D5" s="110">
        <f>C5*'Prognozy ogolne'!I21/'Prognozy ogolne'!D21</f>
        <v>82352.934338835665</v>
      </c>
      <c r="E5" s="236">
        <f>D5/B5-1</f>
        <v>4.5273922553257018E-2</v>
      </c>
      <c r="F5" s="130">
        <f>'PLAN DZIAŁAŃ'!E14</f>
        <v>23046.52009022759</v>
      </c>
      <c r="G5" s="236">
        <f t="shared" ref="G5:G8" si="0">H5/B5-1</f>
        <v>-0.24724663727037033</v>
      </c>
      <c r="H5" s="175">
        <f t="shared" ref="H5:H8" si="1">D5-F5</f>
        <v>59306.414248608075</v>
      </c>
      <c r="I5" s="172">
        <v>15175.614401462866</v>
      </c>
      <c r="M5" s="171" t="s">
        <v>143</v>
      </c>
      <c r="O5" s="181" t="e">
        <f>O4/2</f>
        <v>#REF!</v>
      </c>
    </row>
    <row r="6" spans="1:15">
      <c r="A6" s="238" t="s">
        <v>72</v>
      </c>
      <c r="B6" s="129">
        <f>Podsumowanie!B7</f>
        <v>19879.013356553864</v>
      </c>
      <c r="C6" s="110">
        <f>Podsumowanie!B16</f>
        <v>20351.97697096537</v>
      </c>
      <c r="D6" s="110">
        <f>'Prognoza transport suma'!H4</f>
        <v>28045.737304146245</v>
      </c>
      <c r="E6" s="236">
        <f>D6/B6-1</f>
        <v>0.41082139244601468</v>
      </c>
      <c r="F6" s="130">
        <f>'PLAN DZIAŁAŃ'!E10</f>
        <v>993.95066782769322</v>
      </c>
      <c r="G6" s="236">
        <f t="shared" si="0"/>
        <v>0.36082139244601463</v>
      </c>
      <c r="H6" s="175">
        <f t="shared" si="1"/>
        <v>27051.786636318553</v>
      </c>
      <c r="I6" s="172">
        <v>86.652608009171672</v>
      </c>
      <c r="J6" s="171">
        <f>B6/B9</f>
        <v>0.11970559147640554</v>
      </c>
      <c r="M6" s="171" t="s">
        <v>144</v>
      </c>
      <c r="O6" s="181"/>
    </row>
    <row r="7" spans="1:15">
      <c r="A7" s="238" t="s">
        <v>73</v>
      </c>
      <c r="B7" s="129">
        <f>Podsumowanie!B8</f>
        <v>280.47280000000001</v>
      </c>
      <c r="C7" s="110">
        <f>Podsumowanie!B17</f>
        <v>280.47280000000001</v>
      </c>
      <c r="D7" s="110">
        <f>C7</f>
        <v>280.47280000000001</v>
      </c>
      <c r="E7" s="236">
        <f t="shared" ref="E7:E8" si="2">D7/B7-1</f>
        <v>0</v>
      </c>
      <c r="F7" s="130">
        <f>'PLAN DZIAŁAŃ'!E9</f>
        <v>126.21276</v>
      </c>
      <c r="G7" s="236">
        <f t="shared" si="0"/>
        <v>-0.44999999999999996</v>
      </c>
      <c r="H7" s="175">
        <f t="shared" si="1"/>
        <v>154.26004</v>
      </c>
      <c r="I7" s="172">
        <v>243.10996</v>
      </c>
      <c r="O7" s="172"/>
    </row>
    <row r="8" spans="1:15">
      <c r="A8" s="238" t="s">
        <v>74</v>
      </c>
      <c r="B8" s="129">
        <f>Podsumowanie!B9</f>
        <v>65794.412169923075</v>
      </c>
      <c r="C8" s="110">
        <f>Podsumowanie!B18</f>
        <v>71117.435269907699</v>
      </c>
      <c r="D8" s="110">
        <f>C8*'Prognozy ogolne'!$I$89/'Prognozy ogolne'!$D$89</f>
        <v>77711.620583096519</v>
      </c>
      <c r="E8" s="236">
        <f t="shared" si="2"/>
        <v>0.18112797151216453</v>
      </c>
      <c r="F8" s="130">
        <f>'PLAN DZIAŁAŃ'!E16</f>
        <v>3508.545043495385</v>
      </c>
      <c r="G8" s="236">
        <f t="shared" si="0"/>
        <v>0.12780208975743323</v>
      </c>
      <c r="H8" s="175">
        <f t="shared" si="1"/>
        <v>74203.075539601137</v>
      </c>
      <c r="I8" s="172">
        <v>77.510271552840095</v>
      </c>
      <c r="O8" s="172"/>
    </row>
    <row r="9" spans="1:15">
      <c r="A9" s="238" t="s">
        <v>0</v>
      </c>
      <c r="B9" s="131">
        <f>Podsumowanie!B10</f>
        <v>166065.87137136445</v>
      </c>
      <c r="C9" s="111">
        <f>Podsumowanie!B19</f>
        <v>174394.798233893</v>
      </c>
      <c r="D9" s="111">
        <f>SUM(D4:D8)</f>
        <v>189542.02547062241</v>
      </c>
      <c r="E9" s="237">
        <f>D9/B9-1</f>
        <v>0.14136651863138971</v>
      </c>
      <c r="F9" s="149">
        <f>SUM(F4:F8)</f>
        <v>27922.941629737546</v>
      </c>
      <c r="G9" s="237">
        <f>H9/B9-1</f>
        <v>-2.6777251061631313E-2</v>
      </c>
      <c r="H9" s="176">
        <f>D9-F9</f>
        <v>161619.08384088485</v>
      </c>
      <c r="I9" s="172">
        <v>15910.409989303094</v>
      </c>
      <c r="J9" s="171">
        <f>D9/'Prognozy ogolne'!I21</f>
        <v>33.309237877884456</v>
      </c>
      <c r="O9" s="172"/>
    </row>
    <row r="10" spans="1:15">
      <c r="A10" s="238" t="s">
        <v>219</v>
      </c>
      <c r="B10" s="234">
        <f>B9/'Prognozy ogolne'!P3</f>
        <v>29.825048737673214</v>
      </c>
      <c r="C10" s="234">
        <f>C9/'Prognozy ogolne'!D21</f>
        <v>30.97048450255603</v>
      </c>
      <c r="D10" s="234">
        <f>D9/'Prognozy ogolne'!I21</f>
        <v>33.309237877884456</v>
      </c>
      <c r="E10" s="237">
        <f>D10/B10-1</f>
        <v>0.11682090349144092</v>
      </c>
      <c r="F10" s="234">
        <f>F9/'Prognozy ogolne'!I21</f>
        <v>4.9070484642434504</v>
      </c>
      <c r="G10" s="237">
        <f>H10/B10-1</f>
        <v>-4.7706856627360295E-2</v>
      </c>
      <c r="H10" s="235">
        <f>H9/'Prognozy ogolne'!I21</f>
        <v>28.402189413641004</v>
      </c>
    </row>
    <row r="11" spans="1:15">
      <c r="J11" s="171">
        <f>D9/'Prognozy ogolne'!I21</f>
        <v>33.309237877884456</v>
      </c>
    </row>
    <row r="25" spans="10:10" ht="13.95" customHeight="1"/>
    <row r="31" spans="10:10" ht="13.95" customHeight="1"/>
    <row r="32" spans="10:10">
      <c r="J32" s="171" t="s">
        <v>146</v>
      </c>
    </row>
    <row r="48" spans="1:8" ht="14.4" customHeight="1">
      <c r="A48" s="458" t="s">
        <v>69</v>
      </c>
      <c r="B48" s="459" t="s">
        <v>35</v>
      </c>
      <c r="C48" s="460"/>
      <c r="D48" s="460"/>
      <c r="E48" s="460"/>
      <c r="F48" s="460"/>
      <c r="G48" s="460"/>
      <c r="H48" s="461"/>
    </row>
    <row r="49" spans="1:12">
      <c r="A49" s="458"/>
      <c r="B49" s="458" t="s">
        <v>104</v>
      </c>
      <c r="C49" s="458"/>
      <c r="D49" s="458"/>
      <c r="E49" s="239" t="s">
        <v>151</v>
      </c>
      <c r="F49" s="239" t="str">
        <f>B49</f>
        <v>Mg CO2</v>
      </c>
      <c r="G49" s="239" t="str">
        <f>E49</f>
        <v>[%]</v>
      </c>
      <c r="H49" s="240" t="str">
        <f>F49</f>
        <v>Mg CO2</v>
      </c>
    </row>
    <row r="50" spans="1:12" ht="72">
      <c r="A50" s="239"/>
      <c r="B50" s="239">
        <v>2010</v>
      </c>
      <c r="C50" s="239">
        <v>2015</v>
      </c>
      <c r="D50" s="241" t="str">
        <f>D3</f>
        <v>2020- wariant bazowy BaU bez podjęcia działań Planu</v>
      </c>
      <c r="E50" s="241" t="str">
        <f>E3</f>
        <v>Wzrost/redukcja w stosunku do roku bazowego bez podjęcia działań Planu</v>
      </c>
      <c r="F50" s="241" t="str">
        <f>F3</f>
        <v xml:space="preserve">Planowana wartość redukcji- cel redukcji </v>
      </c>
      <c r="G50" s="241" t="str">
        <f>G3</f>
        <v>Planowana wartość redukcji w stosunku do roku bazowego</v>
      </c>
      <c r="H50" s="242" t="str">
        <f>H3</f>
        <v>2020- wariant docelowy- cel redukcji Gminy</v>
      </c>
      <c r="I50" s="174"/>
    </row>
    <row r="51" spans="1:12">
      <c r="A51" s="238" t="s">
        <v>70</v>
      </c>
      <c r="B51" s="143">
        <f>Podsumowanie!C5</f>
        <v>426.23682345378398</v>
      </c>
      <c r="C51" s="143">
        <f>Podsumowanie!C14</f>
        <v>332.26536565504006</v>
      </c>
      <c r="D51" s="130">
        <f>C51</f>
        <v>332.26536565504006</v>
      </c>
      <c r="E51" s="236">
        <f>D51/B51-1</f>
        <v>-0.22046771331790638</v>
      </c>
      <c r="F51" s="184">
        <f>'PLAN DZIAŁAŃ'!F3+'PLAN DZIAŁAŃ'!F4+'PLAN DZIAŁAŃ'!F5+'PLAN DZIAŁAŃ'!F6+'PLAN DZIAŁAŃ'!F7+'PLAN DZIAŁAŃ'!F8</f>
        <v>54.920134632964064</v>
      </c>
      <c r="G51" s="236">
        <f>(H51-B51)/B51</f>
        <v>-0.34931658702137452</v>
      </c>
      <c r="H51" s="177">
        <f>D51-F51</f>
        <v>277.34523102207601</v>
      </c>
      <c r="I51" s="186"/>
      <c r="J51" s="173">
        <f>B51/$B$56</f>
        <v>6.8106250246260311E-3</v>
      </c>
      <c r="K51" s="173">
        <f>C51/$C$56</f>
        <v>6.0497104087459258E-3</v>
      </c>
      <c r="L51" s="173">
        <f>D51/$D$56</f>
        <v>5.6166922651821119E-3</v>
      </c>
    </row>
    <row r="52" spans="1:12">
      <c r="A52" s="238" t="s">
        <v>71</v>
      </c>
      <c r="B52" s="143">
        <f>Podsumowanie!C6</f>
        <v>31634.410211168979</v>
      </c>
      <c r="C52" s="143">
        <f>Podsumowanie!C15</f>
        <v>27672.802437568811</v>
      </c>
      <c r="D52" s="110">
        <f>C52*'Prognozy ogolne'!I21/'Prognozy ogolne'!D21</f>
        <v>27964.588716454309</v>
      </c>
      <c r="E52" s="236">
        <f t="shared" ref="E52:E56" si="3">D52/B52-1</f>
        <v>-0.11600726772579395</v>
      </c>
      <c r="F52" s="184">
        <f>'PLAN DZIAŁAŃ'!F14</f>
        <v>6341.0292016517997</v>
      </c>
      <c r="G52" s="236">
        <f t="shared" ref="G52:G56" si="4">(H52-B52)/B52</f>
        <v>-0.31645447566561541</v>
      </c>
      <c r="H52" s="177">
        <f t="shared" ref="H52:H56" si="5">D52-F52</f>
        <v>21623.55951480251</v>
      </c>
      <c r="I52" s="186"/>
      <c r="J52" s="173">
        <f>B52/$B$56</f>
        <v>0.50547041918548252</v>
      </c>
      <c r="K52" s="173">
        <f t="shared" ref="K52:K56" si="6">C52/$C$56</f>
        <v>0.50385161455418825</v>
      </c>
      <c r="L52" s="173">
        <f>D52/$D$56</f>
        <v>0.47272001652371237</v>
      </c>
    </row>
    <row r="53" spans="1:12">
      <c r="A53" s="238" t="s">
        <v>72</v>
      </c>
      <c r="B53" s="143">
        <f>Podsumowanie!C7</f>
        <v>6146.4324567882777</v>
      </c>
      <c r="C53" s="143">
        <f>Podsumowanie!C16</f>
        <v>5144.2600818019446</v>
      </c>
      <c r="D53" s="110">
        <f>'Prognoza transport suma'!H25</f>
        <v>7088.970623554108</v>
      </c>
      <c r="E53" s="236">
        <f t="shared" si="3"/>
        <v>0.15334719341540426</v>
      </c>
      <c r="F53" s="184">
        <f>'PLAN DZIAŁAŃ'!F10</f>
        <v>307.32162283941392</v>
      </c>
      <c r="G53" s="236">
        <f t="shared" si="4"/>
        <v>0.10334719341540423</v>
      </c>
      <c r="H53" s="177">
        <f t="shared" si="5"/>
        <v>6781.649000714694</v>
      </c>
      <c r="I53" s="186"/>
      <c r="J53" s="173">
        <f t="shared" ref="J53:J56" si="7">B53/$B$56</f>
        <v>9.8210770161003727E-2</v>
      </c>
      <c r="K53" s="173">
        <f t="shared" si="6"/>
        <v>9.3663941472863901E-2</v>
      </c>
      <c r="L53" s="173">
        <f t="shared" ref="L53:L55" si="8">D53/$D$56</f>
        <v>0.11983363475432877</v>
      </c>
    </row>
    <row r="54" spans="1:12">
      <c r="A54" s="238" t="s">
        <v>73</v>
      </c>
      <c r="B54" s="143">
        <f>Podsumowanie!C8</f>
        <v>227.74391360000001</v>
      </c>
      <c r="C54" s="143">
        <f>Podsumowanie!C17</f>
        <v>227.74391360000001</v>
      </c>
      <c r="D54" s="110">
        <f>C54</f>
        <v>227.74391360000001</v>
      </c>
      <c r="E54" s="236">
        <f t="shared" si="3"/>
        <v>0</v>
      </c>
      <c r="F54" s="184">
        <f>'PLAN DZIAŁAŃ'!F9</f>
        <v>102.48476112</v>
      </c>
      <c r="G54" s="236">
        <f t="shared" si="4"/>
        <v>-0.44999999999999996</v>
      </c>
      <c r="H54" s="177">
        <f t="shared" si="5"/>
        <v>125.25915248000001</v>
      </c>
      <c r="I54" s="186"/>
      <c r="J54" s="173">
        <f t="shared" si="7"/>
        <v>3.6390060919703929E-3</v>
      </c>
      <c r="K54" s="173">
        <f t="shared" si="6"/>
        <v>4.1466396051187517E-3</v>
      </c>
      <c r="L54" s="173">
        <f t="shared" si="8"/>
        <v>3.8498369381281309E-3</v>
      </c>
    </row>
    <row r="55" spans="1:12">
      <c r="A55" s="238" t="s">
        <v>74</v>
      </c>
      <c r="B55" s="143">
        <f>Podsumowanie!C9</f>
        <v>24149.274517365553</v>
      </c>
      <c r="C55" s="143">
        <f>Podsumowanie!C18</f>
        <v>21545.452290244924</v>
      </c>
      <c r="D55" s="110">
        <f>C55*'Prognozy ogolne'!$I$89/'Prognozy ogolne'!$D$89</f>
        <v>23543.200163451205</v>
      </c>
      <c r="E55" s="236">
        <f t="shared" si="3"/>
        <v>-2.5097000470077235E-2</v>
      </c>
      <c r="F55" s="184">
        <f>'PLAN DZIAŁAŃ'!F16</f>
        <v>3116.5299536167386</v>
      </c>
      <c r="G55" s="236">
        <f t="shared" si="4"/>
        <v>-0.1541497366661756</v>
      </c>
      <c r="H55" s="177">
        <f t="shared" si="5"/>
        <v>20426.670209834469</v>
      </c>
      <c r="I55" s="186"/>
      <c r="J55" s="173">
        <f t="shared" si="7"/>
        <v>0.38586917953691741</v>
      </c>
      <c r="K55" s="173">
        <f t="shared" si="6"/>
        <v>0.39228809395908315</v>
      </c>
      <c r="L55" s="173">
        <f t="shared" si="8"/>
        <v>0.39797981951864853</v>
      </c>
    </row>
    <row r="56" spans="1:12">
      <c r="A56" s="238" t="s">
        <v>0</v>
      </c>
      <c r="B56" s="112">
        <f>SUM(B51:B55)</f>
        <v>62584.09792237659</v>
      </c>
      <c r="C56" s="111">
        <f>SUM(C51:C55)</f>
        <v>54922.524088870719</v>
      </c>
      <c r="D56" s="111">
        <f>SUM(D51:D55)</f>
        <v>59156.768782714666</v>
      </c>
      <c r="E56" s="237">
        <f t="shared" si="3"/>
        <v>-5.4763578184235606E-2</v>
      </c>
      <c r="F56" s="185">
        <f>SUM(F51:F55)</f>
        <v>9922.2856738609153</v>
      </c>
      <c r="G56" s="237">
        <f t="shared" si="4"/>
        <v>-0.21330681845219604</v>
      </c>
      <c r="H56" s="178">
        <f t="shared" si="5"/>
        <v>49234.483108853747</v>
      </c>
      <c r="I56" s="187"/>
      <c r="J56" s="171">
        <f t="shared" si="7"/>
        <v>1</v>
      </c>
      <c r="K56" s="171">
        <f t="shared" si="6"/>
        <v>1</v>
      </c>
    </row>
  </sheetData>
  <mergeCells count="6">
    <mergeCell ref="A1:A2"/>
    <mergeCell ref="B2:D2"/>
    <mergeCell ref="A48:A49"/>
    <mergeCell ref="B49:D49"/>
    <mergeCell ref="B1:H1"/>
    <mergeCell ref="B48:H48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 differentFirst="1">
    <oddFooter>Strona &amp;P z &amp;N</oddFooter>
  </headerFooter>
  <rowBreaks count="1" manualBreakCount="1">
    <brk id="47" max="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3"/>
  <sheetViews>
    <sheetView view="pageBreakPreview" zoomScale="50" zoomScaleNormal="100" zoomScaleSheetLayoutView="50" workbookViewId="0">
      <selection activeCell="I13" sqref="A1:I13"/>
    </sheetView>
  </sheetViews>
  <sheetFormatPr defaultRowHeight="14.4"/>
  <cols>
    <col min="1" max="1" width="22.109375" customWidth="1"/>
    <col min="2" max="2" width="11" customWidth="1"/>
    <col min="3" max="3" width="7.5546875" customWidth="1"/>
    <col min="4" max="5" width="10.33203125" customWidth="1"/>
    <col min="6" max="6" width="10.6640625" customWidth="1"/>
    <col min="7" max="7" width="10.5546875" customWidth="1"/>
    <col min="8" max="8" width="11.44140625" customWidth="1"/>
    <col min="9" max="9" width="13" customWidth="1"/>
  </cols>
  <sheetData>
    <row r="1" spans="1:9">
      <c r="A1" s="463" t="s">
        <v>345</v>
      </c>
      <c r="B1" s="464"/>
      <c r="C1" s="464"/>
      <c r="D1" s="464"/>
      <c r="E1" s="464"/>
      <c r="F1" s="464"/>
      <c r="G1" s="464"/>
      <c r="H1" s="464"/>
      <c r="I1" s="464"/>
    </row>
    <row r="2" spans="1:9">
      <c r="A2" s="474"/>
      <c r="B2" s="239" t="s">
        <v>80</v>
      </c>
      <c r="C2" s="239" t="s">
        <v>151</v>
      </c>
      <c r="D2" s="239" t="str">
        <f>B2</f>
        <v>[MWh/rok]</v>
      </c>
      <c r="E2" s="239"/>
      <c r="F2" s="239" t="str">
        <f>D2</f>
        <v>[MWh/rok]</v>
      </c>
      <c r="G2" s="239" t="str">
        <f>C2</f>
        <v>[%]</v>
      </c>
      <c r="H2" s="253" t="str">
        <f>F2</f>
        <v>[MWh/rok]</v>
      </c>
      <c r="I2" s="253" t="str">
        <f>G2</f>
        <v>[%]</v>
      </c>
    </row>
    <row r="3" spans="1:9" ht="72" customHeight="1">
      <c r="A3" s="475"/>
      <c r="B3" s="458" t="s">
        <v>220</v>
      </c>
      <c r="C3" s="458"/>
      <c r="D3" s="459">
        <v>2015</v>
      </c>
      <c r="E3" s="461"/>
      <c r="F3" s="462" t="s">
        <v>148</v>
      </c>
      <c r="G3" s="462"/>
      <c r="H3" s="469" t="str">
        <f>'Prognozy podsumowanie'!H3</f>
        <v>2020- wariant docelowy- cel redukcji Gminy</v>
      </c>
      <c r="I3" s="470"/>
    </row>
    <row r="4" spans="1:9">
      <c r="A4" s="249" t="s">
        <v>155</v>
      </c>
      <c r="B4" s="467">
        <f>'Prognozy podsumowanie'!B9</f>
        <v>166065.87137136445</v>
      </c>
      <c r="C4" s="468"/>
      <c r="D4" s="467">
        <f>'Prognozy podsumowanie'!C9</f>
        <v>174394.798233893</v>
      </c>
      <c r="E4" s="468"/>
      <c r="F4" s="467">
        <f>'Prognozy podsumowanie'!D9</f>
        <v>189542.02547062241</v>
      </c>
      <c r="G4" s="468"/>
      <c r="H4" s="467">
        <f>'Prognozy podsumowanie'!H9</f>
        <v>161619.08384088485</v>
      </c>
      <c r="I4" s="468"/>
    </row>
    <row r="5" spans="1:9">
      <c r="A5" s="471" t="s">
        <v>344</v>
      </c>
      <c r="B5" s="472"/>
      <c r="C5" s="472"/>
      <c r="D5" s="472"/>
      <c r="E5" s="472"/>
      <c r="F5" s="472"/>
      <c r="G5" s="472"/>
      <c r="H5" s="472"/>
      <c r="I5" s="473"/>
    </row>
    <row r="6" spans="1:9" ht="86.4">
      <c r="A6" s="250"/>
      <c r="B6" s="251" t="s">
        <v>154</v>
      </c>
      <c r="C6" s="251" t="s">
        <v>156</v>
      </c>
      <c r="D6" s="251" t="s">
        <v>154</v>
      </c>
      <c r="E6" s="251" t="str">
        <f>C6</f>
        <v>Udział OZE</v>
      </c>
      <c r="F6" s="251" t="s">
        <v>154</v>
      </c>
      <c r="G6" s="251" t="s">
        <v>156</v>
      </c>
      <c r="H6" s="251" t="s">
        <v>342</v>
      </c>
      <c r="I6" s="251" t="s">
        <v>157</v>
      </c>
    </row>
    <row r="7" spans="1:9">
      <c r="A7" s="465" t="s">
        <v>158</v>
      </c>
      <c r="B7" s="466"/>
      <c r="C7" s="466"/>
      <c r="D7" s="466"/>
      <c r="E7" s="466"/>
      <c r="F7" s="466"/>
      <c r="G7" s="466"/>
      <c r="H7" s="466"/>
      <c r="I7" s="466"/>
    </row>
    <row r="8" spans="1:9">
      <c r="A8" s="249" t="s">
        <v>70</v>
      </c>
      <c r="B8" s="150">
        <f>'Podsumowanie- Obiekty publiczne'!F5</f>
        <v>0</v>
      </c>
      <c r="C8" s="151">
        <f>B8/$B$4</f>
        <v>0</v>
      </c>
      <c r="D8" s="150">
        <f>B8+'Podsumowanie- Obiekty publiczne'!F9</f>
        <v>0</v>
      </c>
      <c r="E8" s="243">
        <f>D8/D4</f>
        <v>0</v>
      </c>
      <c r="F8" s="150">
        <f>D8</f>
        <v>0</v>
      </c>
      <c r="G8" s="152">
        <f>F8/$F$4</f>
        <v>0</v>
      </c>
      <c r="H8" s="153">
        <v>0</v>
      </c>
      <c r="I8" s="248">
        <f>(D8+H8)/$H$4</f>
        <v>0</v>
      </c>
    </row>
    <row r="9" spans="1:9">
      <c r="A9" s="238" t="s">
        <v>71</v>
      </c>
      <c r="B9" s="150">
        <f>'Podsumowanie- Obiekty prywatne'!F5+(6.13*1750/1000000)</f>
        <v>5065.9886920569616</v>
      </c>
      <c r="C9" s="151">
        <f>B9/$B$4</f>
        <v>3.0505898955771323E-2</v>
      </c>
      <c r="D9" s="150">
        <f>'Podsumowanie- Obiekty prywatne'!F9+((12.63+23.559+18.005)*1750/1000000)+0*('Podsumowanie- Obiekty prywatne'!H9-'Podsumowanie- Obiekty prywatne'!G9)</f>
        <v>5266.9265559556952</v>
      </c>
      <c r="E9" s="243">
        <f>D9/D4</f>
        <v>3.020116774866102E-2</v>
      </c>
      <c r="F9" s="150">
        <f>D9</f>
        <v>5266.9265559556952</v>
      </c>
      <c r="G9" s="152">
        <f>F9/$F$4</f>
        <v>2.7787645208909247E-2</v>
      </c>
      <c r="H9" s="153">
        <f>'PLAN DZIAŁAŃ'!E11+'PLAN DZIAŁAŃ'!E12+'PLAN DZIAŁAŃ'!E13</f>
        <v>6802.0736420937146</v>
      </c>
      <c r="I9" s="248">
        <f t="shared" ref="I9:I11" si="0">(D9+H9)/$H$4</f>
        <v>7.4675588496290607E-2</v>
      </c>
    </row>
    <row r="10" spans="1:9">
      <c r="A10" s="238" t="s">
        <v>74</v>
      </c>
      <c r="B10" s="150">
        <f>'Podsumowanie- Przedsiębiorcy'!F5</f>
        <v>3280.788</v>
      </c>
      <c r="C10" s="151">
        <f>B10/$B$4</f>
        <v>1.9755943668060157E-2</v>
      </c>
      <c r="D10" s="150">
        <f>'Podsumowanie- Przedsiębiorcy'!F9</f>
        <v>3573.9648000000002</v>
      </c>
      <c r="E10" s="243">
        <f>D10/D4</f>
        <v>2.0493528684305751E-2</v>
      </c>
      <c r="F10" s="150">
        <f>D10</f>
        <v>3573.9648000000002</v>
      </c>
      <c r="G10" s="152">
        <f t="shared" ref="G10" si="1">F10/$F$4</f>
        <v>1.8855790905083148E-2</v>
      </c>
      <c r="H10" s="154">
        <f>'PLAN DZIAŁAŃ'!E15</f>
        <v>38.429296640000004</v>
      </c>
      <c r="I10" s="248">
        <f t="shared" si="0"/>
        <v>2.235128433345426E-2</v>
      </c>
    </row>
    <row r="11" spans="1:9">
      <c r="A11" s="238" t="s">
        <v>159</v>
      </c>
      <c r="B11" s="244">
        <f>SUM(B8:B10)</f>
        <v>8346.7766920569611</v>
      </c>
      <c r="C11" s="245">
        <f>B11/$B$4</f>
        <v>5.0261842623831474E-2</v>
      </c>
      <c r="D11" s="246">
        <f>SUM(D8:D10)</f>
        <v>8840.891355955695</v>
      </c>
      <c r="E11" s="254">
        <f>D11/D4</f>
        <v>5.0694696432966771E-2</v>
      </c>
      <c r="F11" s="246">
        <f>SUM(F8:F10)</f>
        <v>8840.891355955695</v>
      </c>
      <c r="G11" s="247">
        <f>F11/$F$4</f>
        <v>4.6643436113992388E-2</v>
      </c>
      <c r="H11" s="246">
        <f>SUM(H8:H10)</f>
        <v>6840.5029387337145</v>
      </c>
      <c r="I11" s="248">
        <f t="shared" si="0"/>
        <v>9.702687282974487E-2</v>
      </c>
    </row>
    <row r="12" spans="1:9">
      <c r="H12" s="209"/>
    </row>
    <row r="13" spans="1:9" ht="15.6" customHeight="1">
      <c r="A13" s="462" t="s">
        <v>161</v>
      </c>
      <c r="B13" s="462"/>
      <c r="C13" s="462"/>
      <c r="D13" s="462"/>
      <c r="E13" s="462"/>
      <c r="F13" s="462"/>
      <c r="G13" s="462"/>
      <c r="H13" s="462"/>
      <c r="I13" s="252">
        <f>I11-C11</f>
        <v>4.6765030205913397E-2</v>
      </c>
    </row>
  </sheetData>
  <mergeCells count="13">
    <mergeCell ref="A13:H13"/>
    <mergeCell ref="A1:I1"/>
    <mergeCell ref="A7:I7"/>
    <mergeCell ref="B3:C3"/>
    <mergeCell ref="F3:G3"/>
    <mergeCell ref="B4:C4"/>
    <mergeCell ref="F4:G4"/>
    <mergeCell ref="D3:E3"/>
    <mergeCell ref="D4:E4"/>
    <mergeCell ref="H3:I3"/>
    <mergeCell ref="H4:I4"/>
    <mergeCell ref="A5:I5"/>
    <mergeCell ref="A2:A3"/>
  </mergeCells>
  <pageMargins left="0.7" right="0.7" top="0.75" bottom="0.75" header="0.3" footer="0.3"/>
  <pageSetup paperSize="9" orientation="landscape"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view="pageBreakPreview" topLeftCell="A35" zoomScale="60" zoomScaleNormal="100" workbookViewId="0">
      <selection activeCell="G50" sqref="A10:G50"/>
    </sheetView>
  </sheetViews>
  <sheetFormatPr defaultRowHeight="14.4"/>
  <cols>
    <col min="1" max="1" width="18.33203125" customWidth="1"/>
    <col min="7" max="7" width="10.6640625" customWidth="1"/>
    <col min="10" max="10" width="10.33203125" customWidth="1"/>
    <col min="11" max="11" width="10.6640625" customWidth="1"/>
    <col min="12" max="12" width="9.77734375" customWidth="1"/>
    <col min="13" max="13" width="10.88671875" customWidth="1"/>
  </cols>
  <sheetData>
    <row r="1" spans="1:13">
      <c r="A1" s="256" t="s">
        <v>221</v>
      </c>
    </row>
    <row r="2" spans="1:13">
      <c r="A2" s="478" t="s">
        <v>222</v>
      </c>
      <c r="B2" s="480" t="s">
        <v>223</v>
      </c>
      <c r="C2" s="482" t="s">
        <v>224</v>
      </c>
      <c r="D2" s="483"/>
      <c r="E2" s="484" t="s">
        <v>11</v>
      </c>
      <c r="F2" s="484" t="s">
        <v>10</v>
      </c>
      <c r="G2" s="476" t="s">
        <v>225</v>
      </c>
      <c r="H2" s="477"/>
      <c r="I2" s="484" t="s">
        <v>226</v>
      </c>
      <c r="J2" s="476" t="s">
        <v>227</v>
      </c>
      <c r="K2" s="485"/>
      <c r="L2" s="485"/>
      <c r="M2" s="477"/>
    </row>
    <row r="3" spans="1:13" ht="72">
      <c r="A3" s="479"/>
      <c r="B3" s="481"/>
      <c r="C3" s="257" t="s">
        <v>228</v>
      </c>
      <c r="D3" s="257" t="s">
        <v>229</v>
      </c>
      <c r="E3" s="484"/>
      <c r="F3" s="484"/>
      <c r="G3" s="258" t="s">
        <v>228</v>
      </c>
      <c r="H3" s="257" t="s">
        <v>229</v>
      </c>
      <c r="I3" s="484"/>
      <c r="J3" s="257" t="str">
        <f>B2</f>
        <v>jednostka</v>
      </c>
      <c r="K3" s="257" t="s">
        <v>230</v>
      </c>
      <c r="L3" s="257" t="s">
        <v>8</v>
      </c>
      <c r="M3" s="257" t="s">
        <v>44</v>
      </c>
    </row>
    <row r="4" spans="1:13">
      <c r="A4" s="259" t="s">
        <v>231</v>
      </c>
      <c r="B4" s="259" t="s">
        <v>232</v>
      </c>
      <c r="C4" s="259">
        <v>225</v>
      </c>
      <c r="D4" s="259">
        <v>78</v>
      </c>
      <c r="E4" s="259">
        <v>0.5</v>
      </c>
      <c r="F4" s="259">
        <v>3</v>
      </c>
      <c r="G4" s="259">
        <v>480</v>
      </c>
      <c r="H4" s="259">
        <v>34</v>
      </c>
      <c r="I4" s="259">
        <f>0.0002*1000</f>
        <v>0.2</v>
      </c>
      <c r="J4" s="259" t="s">
        <v>233</v>
      </c>
      <c r="K4" s="259">
        <v>0</v>
      </c>
      <c r="L4" s="259">
        <v>6</v>
      </c>
      <c r="M4" s="259">
        <v>0.01</v>
      </c>
    </row>
    <row r="5" spans="1:13">
      <c r="A5" s="259" t="s">
        <v>234</v>
      </c>
      <c r="B5" s="259" t="s">
        <v>232</v>
      </c>
      <c r="C5" s="259">
        <v>201</v>
      </c>
      <c r="D5" s="259">
        <v>70</v>
      </c>
      <c r="E5" s="259">
        <v>0.5</v>
      </c>
      <c r="F5" s="259">
        <v>3</v>
      </c>
      <c r="G5" s="259">
        <v>470</v>
      </c>
      <c r="H5" s="259">
        <v>33</v>
      </c>
      <c r="I5" s="259">
        <v>0.2</v>
      </c>
      <c r="J5" s="259" t="s">
        <v>233</v>
      </c>
      <c r="K5" s="260">
        <v>0</v>
      </c>
      <c r="L5" s="260">
        <v>6</v>
      </c>
      <c r="M5" s="260">
        <v>0.01</v>
      </c>
    </row>
    <row r="6" spans="1:13">
      <c r="A6" s="259" t="s">
        <v>235</v>
      </c>
      <c r="B6" s="259" t="s">
        <v>236</v>
      </c>
      <c r="C6" s="259">
        <v>270</v>
      </c>
      <c r="D6" s="259">
        <v>7.9000000000000001E-2</v>
      </c>
      <c r="E6" s="259">
        <v>0</v>
      </c>
      <c r="F6" s="259">
        <v>10</v>
      </c>
      <c r="G6" s="259">
        <v>121</v>
      </c>
      <c r="H6" s="259">
        <v>10</v>
      </c>
      <c r="I6" s="259">
        <v>0</v>
      </c>
      <c r="J6" s="259" t="s">
        <v>237</v>
      </c>
      <c r="K6" s="260">
        <v>0</v>
      </c>
      <c r="L6" s="260">
        <v>0.29699999999999999</v>
      </c>
      <c r="M6" s="260">
        <v>1.0699999999999999E-2</v>
      </c>
    </row>
    <row r="7" spans="1:13">
      <c r="A7" s="259" t="s">
        <v>238</v>
      </c>
      <c r="B7" s="259" t="s">
        <v>232</v>
      </c>
      <c r="C7" s="259">
        <v>900</v>
      </c>
      <c r="D7" s="259">
        <v>450</v>
      </c>
      <c r="E7" s="259">
        <v>0.5</v>
      </c>
      <c r="F7" s="259">
        <v>140</v>
      </c>
      <c r="G7" s="259">
        <v>11</v>
      </c>
      <c r="H7" s="259">
        <v>11</v>
      </c>
      <c r="I7" s="259">
        <v>0</v>
      </c>
      <c r="J7" s="259" t="s">
        <v>239</v>
      </c>
      <c r="K7" s="259">
        <v>0</v>
      </c>
      <c r="L7" s="259">
        <v>0.1</v>
      </c>
      <c r="M7" s="259">
        <v>0.1</v>
      </c>
    </row>
    <row r="8" spans="1:13">
      <c r="A8" s="259" t="s">
        <v>240</v>
      </c>
      <c r="B8" s="259" t="s">
        <v>232</v>
      </c>
      <c r="C8" s="259">
        <v>158</v>
      </c>
      <c r="D8" s="259">
        <v>165</v>
      </c>
      <c r="E8" s="259">
        <v>50</v>
      </c>
      <c r="F8" s="259">
        <v>70</v>
      </c>
      <c r="G8" s="259">
        <v>80</v>
      </c>
      <c r="H8" s="259">
        <v>91</v>
      </c>
      <c r="I8" s="259">
        <f>0.1*1000</f>
        <v>100</v>
      </c>
      <c r="J8" s="259" t="s">
        <v>233</v>
      </c>
      <c r="K8" s="259">
        <f>150</f>
        <v>150</v>
      </c>
      <c r="L8" s="259">
        <v>14</v>
      </c>
      <c r="M8" s="259">
        <v>34.1</v>
      </c>
    </row>
    <row r="9" spans="1:13">
      <c r="J9" s="486"/>
      <c r="K9" s="486"/>
      <c r="L9" s="486"/>
      <c r="M9" s="487"/>
    </row>
    <row r="10" spans="1:13" ht="28.95" customHeight="1">
      <c r="A10" s="488">
        <v>2010</v>
      </c>
      <c r="B10" s="261" t="s">
        <v>241</v>
      </c>
      <c r="C10" s="262" t="s">
        <v>242</v>
      </c>
      <c r="D10" s="261" t="s">
        <v>243</v>
      </c>
      <c r="E10" s="262" t="s">
        <v>244</v>
      </c>
      <c r="F10" s="262" t="s">
        <v>245</v>
      </c>
      <c r="G10" s="489" t="s">
        <v>246</v>
      </c>
      <c r="J10" s="486"/>
      <c r="K10" s="486"/>
      <c r="L10" s="486"/>
      <c r="M10" s="487"/>
    </row>
    <row r="11" spans="1:13">
      <c r="A11" s="488"/>
      <c r="B11" s="489" t="s">
        <v>70</v>
      </c>
      <c r="C11" s="489"/>
      <c r="D11" s="489"/>
      <c r="E11" s="489"/>
      <c r="F11" s="489"/>
      <c r="G11" s="489"/>
      <c r="J11" s="209"/>
    </row>
    <row r="12" spans="1:13">
      <c r="A12" s="263" t="s">
        <v>11</v>
      </c>
      <c r="B12" s="264">
        <f>'Podsumowanie- Obiekty publiczne'!$D$5*3.6*E4/1000000</f>
        <v>2.0682670235904004E-3</v>
      </c>
      <c r="C12" s="264">
        <f>'Podsumowanie- Obiekty publiczne'!$D$5*3.6*E5/1000000</f>
        <v>2.0682670235904004E-3</v>
      </c>
      <c r="D12" s="264">
        <f>'Podsumowanie- Obiekty publiczne'!$D$5*3.6*E7/1000000</f>
        <v>2.0682670235904004E-3</v>
      </c>
      <c r="E12" s="264">
        <f>'Podsumowanie- Obiekty publiczne'!$D$5*3.6*E8/1000000</f>
        <v>0.20682670235903999</v>
      </c>
      <c r="F12" s="264">
        <f>'Podsumowanie- Obiekty publiczne'!$D$5*3.6*E6/1000000</f>
        <v>0</v>
      </c>
      <c r="G12" s="265">
        <f>SUM(B12:F12)</f>
        <v>0.2130315034298112</v>
      </c>
      <c r="H12" s="266"/>
    </row>
    <row r="13" spans="1:13">
      <c r="A13" s="488">
        <v>2015</v>
      </c>
      <c r="B13" s="261" t="s">
        <v>241</v>
      </c>
      <c r="C13" s="262" t="s">
        <v>242</v>
      </c>
      <c r="D13" s="261" t="s">
        <v>243</v>
      </c>
      <c r="E13" s="262" t="s">
        <v>244</v>
      </c>
      <c r="F13" s="262" t="s">
        <v>245</v>
      </c>
      <c r="G13" s="489" t="s">
        <v>246</v>
      </c>
      <c r="H13" s="268"/>
    </row>
    <row r="14" spans="1:13">
      <c r="A14" s="488"/>
      <c r="B14" s="489" t="s">
        <v>70</v>
      </c>
      <c r="C14" s="489"/>
      <c r="D14" s="489"/>
      <c r="E14" s="489"/>
      <c r="F14" s="489"/>
      <c r="G14" s="489"/>
      <c r="H14" s="268"/>
    </row>
    <row r="15" spans="1:13">
      <c r="A15" s="263" t="str">
        <f>A12</f>
        <v>Gaz ziemny</v>
      </c>
      <c r="B15" s="264">
        <f>'Podsumowanie- Obiekty publiczne'!$D$9*3.6*E4/1000000</f>
        <v>1.7766314001792E-3</v>
      </c>
      <c r="C15" s="264">
        <f>'Podsumowanie- Obiekty publiczne'!$D$9*3.6*E5/1000000</f>
        <v>1.7766314001792E-3</v>
      </c>
      <c r="D15" s="264">
        <f>'Podsumowanie- Obiekty publiczne'!$D$9*3.6*E7/1000000</f>
        <v>1.7766314001792E-3</v>
      </c>
      <c r="E15" s="264">
        <f>'Podsumowanie- Obiekty publiczne'!$D$9*3.6*E8/1000000</f>
        <v>0.17766314001792</v>
      </c>
      <c r="F15" s="264">
        <f>'Podsumowanie- Obiekty publiczne'!$D$9*3.6*E6/1000000</f>
        <v>0</v>
      </c>
      <c r="G15" s="265">
        <f>SUM(B15:F15)</f>
        <v>0.18299303421845758</v>
      </c>
      <c r="H15" s="267"/>
    </row>
    <row r="16" spans="1:13">
      <c r="H16" s="268"/>
    </row>
    <row r="17" spans="1:8">
      <c r="A17" s="488">
        <f>A10</f>
        <v>2010</v>
      </c>
      <c r="B17" s="261" t="s">
        <v>241</v>
      </c>
      <c r="C17" s="262" t="s">
        <v>242</v>
      </c>
      <c r="D17" s="261" t="s">
        <v>243</v>
      </c>
      <c r="E17" s="262" t="s">
        <v>244</v>
      </c>
      <c r="F17" s="262" t="s">
        <v>245</v>
      </c>
      <c r="G17" s="489" t="s">
        <v>246</v>
      </c>
      <c r="H17" s="268"/>
    </row>
    <row r="18" spans="1:8">
      <c r="A18" s="488"/>
      <c r="B18" s="489" t="s">
        <v>71</v>
      </c>
      <c r="C18" s="489"/>
      <c r="D18" s="489"/>
      <c r="E18" s="489"/>
      <c r="F18" s="489"/>
      <c r="G18" s="489"/>
      <c r="H18" s="268"/>
    </row>
    <row r="19" spans="1:8">
      <c r="A19" s="270" t="s">
        <v>7</v>
      </c>
      <c r="B19" s="264">
        <f>'Podsumowanie- Obiekty prywatne'!C5*3.6*C4/1000000</f>
        <v>50.210303042962025</v>
      </c>
      <c r="C19" s="264">
        <f>'Podsumowanie- Obiekty prywatne'!C5*3.6*C5/1000000</f>
        <v>44.854537385046072</v>
      </c>
      <c r="D19" s="264">
        <f>'Podsumowanie- Obiekty prywatne'!C5*3.6*C7/1000000</f>
        <v>200.8412121718481</v>
      </c>
      <c r="E19" s="264">
        <f>'Podsumowanie- Obiekty prywatne'!C5*3.6*C8/1000000</f>
        <v>35.258790581280003</v>
      </c>
      <c r="F19" s="264">
        <f>'Podsumowanie- Obiekty prywatne'!C5*3.6*C6/1000000000</f>
        <v>6.0252363651554425E-2</v>
      </c>
      <c r="G19" s="265">
        <f>SUM(B19:F19)</f>
        <v>331.22509554478773</v>
      </c>
      <c r="H19" s="267"/>
    </row>
    <row r="20" spans="1:8">
      <c r="A20" s="271" t="s">
        <v>11</v>
      </c>
      <c r="B20" s="264">
        <f>'Podsumowanie- Obiekty prywatne'!$D$5*3.6*E4/1000000</f>
        <v>1.136623238784E-2</v>
      </c>
      <c r="C20" s="264">
        <f>'Podsumowanie- Obiekty prywatne'!$D$5*3.6*E5/1000000</f>
        <v>1.136623238784E-2</v>
      </c>
      <c r="D20" s="264">
        <f>'Podsumowanie- Obiekty prywatne'!$D$5*3.6*E7/1000000</f>
        <v>1.136623238784E-2</v>
      </c>
      <c r="E20" s="264">
        <f>'Podsumowanie- Obiekty prywatne'!$D$5*3.6*E8/1000000</f>
        <v>1.1366232387840001</v>
      </c>
      <c r="F20" s="264">
        <f>'Podsumowanie- Obiekty prywatne'!$D$5*3.6*E6/1000000</f>
        <v>0</v>
      </c>
      <c r="G20" s="265">
        <f>SUM(B20:F20)</f>
        <v>1.1707219359475201</v>
      </c>
      <c r="H20" s="266">
        <f>SUM(G19:G20)</f>
        <v>332.39581748073527</v>
      </c>
    </row>
    <row r="21" spans="1:8">
      <c r="A21" s="271" t="s">
        <v>162</v>
      </c>
      <c r="B21" s="264">
        <f>'Podsumowanie- Obiekty prywatne'!$F$5*3.6*G4/1000000</f>
        <v>8.7540099227544292</v>
      </c>
      <c r="C21" s="264">
        <f>'Podsumowanie- Obiekty prywatne'!$F$5*3.6*G5/1000000</f>
        <v>8.5716347160303794</v>
      </c>
      <c r="D21" s="264">
        <f>'Podsumowanie- Obiekty prywatne'!$F$5*3.6*G7/1000000</f>
        <v>0.20061272739645569</v>
      </c>
      <c r="E21" s="264">
        <f>'Podsumowanie- Obiekty prywatne'!$F$5*3.6*G8/1000000</f>
        <v>1.4590016537924051</v>
      </c>
      <c r="F21" s="264">
        <f>'Podsumowanie- Obiekty prywatne'!$F$5*3.6*G6/1000000</f>
        <v>2.2067400013610126</v>
      </c>
      <c r="G21" s="265">
        <f>SUM(B21:F21)</f>
        <v>21.191999021334684</v>
      </c>
      <c r="H21" s="369"/>
    </row>
    <row r="22" spans="1:8">
      <c r="A22" s="488">
        <f>A13</f>
        <v>2015</v>
      </c>
      <c r="B22" s="261" t="s">
        <v>241</v>
      </c>
      <c r="C22" s="262" t="s">
        <v>242</v>
      </c>
      <c r="D22" s="261" t="s">
        <v>243</v>
      </c>
      <c r="E22" s="262" t="s">
        <v>244</v>
      </c>
      <c r="F22" s="262" t="s">
        <v>245</v>
      </c>
      <c r="G22" s="489" t="s">
        <v>246</v>
      </c>
      <c r="H22" s="268"/>
    </row>
    <row r="23" spans="1:8">
      <c r="A23" s="488"/>
      <c r="B23" s="489" t="str">
        <f>B18</f>
        <v>Obiekty mieszkalne</v>
      </c>
      <c r="C23" s="489"/>
      <c r="D23" s="489"/>
      <c r="E23" s="489"/>
      <c r="F23" s="489"/>
      <c r="G23" s="489"/>
      <c r="H23" s="268"/>
    </row>
    <row r="24" spans="1:8">
      <c r="A24" s="263" t="str">
        <f>A19</f>
        <v>Węgiel kamienny</v>
      </c>
      <c r="B24" s="264">
        <f>'Podsumowanie- Obiekty prywatne'!C9*3.6*C4/1000000</f>
        <v>52.201019903696206</v>
      </c>
      <c r="C24" s="264">
        <f>'Podsumowanie- Obiekty prywatne'!C9*3.6*C5/1000000</f>
        <v>46.632911113968611</v>
      </c>
      <c r="D24" s="264">
        <f>'Podsumowanie- Obiekty prywatne'!C9*3.6*C7/1000000</f>
        <v>208.80407961478483</v>
      </c>
      <c r="E24" s="264">
        <f>'Podsumowanie- Obiekty prywatne'!C9*3.6*C8/1000000</f>
        <v>36.656716199040005</v>
      </c>
      <c r="F24" s="264">
        <f>'Podsumowanie- Obiekty prywatne'!C9*3.6*C6/1000000000</f>
        <v>6.2641223884435451E-2</v>
      </c>
      <c r="G24" s="265">
        <f>SUM(B24:F24)</f>
        <v>344.35736805537414</v>
      </c>
      <c r="H24" s="267"/>
    </row>
    <row r="25" spans="1:8">
      <c r="A25" s="263" t="str">
        <f>A20</f>
        <v>Gaz ziemny</v>
      </c>
      <c r="B25" s="264">
        <f>'Podsumowanie- Obiekty prywatne'!D9*3.6*E4/1000000</f>
        <v>1.1068067992320001E-2</v>
      </c>
      <c r="C25" s="264">
        <f>'Podsumowanie- Obiekty prywatne'!D9*3.6*E5/1000000</f>
        <v>1.1068067992320001E-2</v>
      </c>
      <c r="D25" s="264">
        <f>'Podsumowanie- Obiekty prywatne'!D9*3.6*E7/1000000</f>
        <v>1.1068067992320001E-2</v>
      </c>
      <c r="E25" s="264">
        <f>'Podsumowanie- Obiekty prywatne'!D9*3.6*E8/1000000</f>
        <v>1.1068067992320001</v>
      </c>
      <c r="F25" s="264">
        <f>'Podsumowanie- Obiekty prywatne'!D9*3.6*E6/1000000000</f>
        <v>0</v>
      </c>
      <c r="G25" s="265">
        <f>SUM(B25:F25)</f>
        <v>1.1400110032089601</v>
      </c>
      <c r="H25" s="266">
        <f>SUM(G24:G25)</f>
        <v>345.49737905858308</v>
      </c>
    </row>
    <row r="26" spans="1:8">
      <c r="A26" s="263" t="str">
        <f>A21</f>
        <v>Drewno opałowe</v>
      </c>
      <c r="B26" s="264">
        <f>'Podsumowanie- Obiekty prywatne'!$F$9*3.6*G4/1000000</f>
        <v>9.1010852060354424</v>
      </c>
      <c r="C26" s="264">
        <f>'Podsumowanie- Obiekty prywatne'!$F$9*3.6*G5/1000000</f>
        <v>8.911479264243038</v>
      </c>
      <c r="D26" s="264">
        <f>'Podsumowanie- Obiekty prywatne'!$F$9*3.6*G7/1000000</f>
        <v>0.20856653597164557</v>
      </c>
      <c r="E26" s="264">
        <f>'Podsumowanie- Obiekty prywatne'!$F$9*3.6*G8/1000000</f>
        <v>1.5168475343392405</v>
      </c>
      <c r="F26" s="264">
        <f>'Podsumowanie- Obiekty prywatne'!$F$9*3.6*G6/1000000</f>
        <v>2.2942318956881014</v>
      </c>
      <c r="G26" s="265">
        <f>SUM(B26:F26)</f>
        <v>22.032210436277467</v>
      </c>
      <c r="H26" s="369"/>
    </row>
    <row r="27" spans="1:8">
      <c r="H27" s="268"/>
    </row>
    <row r="28" spans="1:8">
      <c r="A28" s="488">
        <v>2010</v>
      </c>
      <c r="B28" s="261" t="s">
        <v>241</v>
      </c>
      <c r="C28" s="262" t="s">
        <v>242</v>
      </c>
      <c r="D28" s="261" t="s">
        <v>243</v>
      </c>
      <c r="E28" s="262" t="s">
        <v>244</v>
      </c>
      <c r="F28" s="262" t="s">
        <v>245</v>
      </c>
      <c r="G28" s="489" t="s">
        <v>246</v>
      </c>
      <c r="H28" s="268"/>
    </row>
    <row r="29" spans="1:8">
      <c r="A29" s="488"/>
      <c r="B29" s="489" t="s">
        <v>74</v>
      </c>
      <c r="C29" s="489"/>
      <c r="D29" s="489"/>
      <c r="E29" s="489"/>
      <c r="F29" s="489"/>
      <c r="G29" s="489"/>
      <c r="H29" s="268"/>
    </row>
    <row r="30" spans="1:8">
      <c r="A30" s="270" t="str">
        <f>'[1]Usługi i przemysł'!A17</f>
        <v>Węgiel kamienny</v>
      </c>
      <c r="B30" s="264">
        <f>'Podsumowanie- Przedsiębiorcy'!C5*3.6*$C$4/1000000</f>
        <v>31.593728861169232</v>
      </c>
      <c r="C30" s="264">
        <f>'Podsumowanie- Przedsiębiorcy'!C5*3.6*C5/1000000</f>
        <v>28.223731115977849</v>
      </c>
      <c r="D30" s="264">
        <f>'Podsumowanie- Przedsiębiorcy'!C5*3.6*$C$7/1000000</f>
        <v>126.37491544467693</v>
      </c>
      <c r="E30" s="264">
        <f>'Podsumowanie- Przedsiębiorcy'!C5*3.6*$C$8/1000000</f>
        <v>22.185818489176619</v>
      </c>
      <c r="F30" s="264">
        <f>'Podsumowanie- Przedsiębiorcy'!C5*3.6*$C$6/1000000000</f>
        <v>3.7912474633403088E-2</v>
      </c>
      <c r="G30" s="265">
        <f>SUM(B30:F30)</f>
        <v>208.41610638563404</v>
      </c>
      <c r="H30" s="267"/>
    </row>
    <row r="31" spans="1:8">
      <c r="A31" s="270" t="str">
        <f>'[1]Usługi i przemysł'!A18</f>
        <v>Olej opałowy</v>
      </c>
      <c r="B31" s="264">
        <f>'Podsumowanie- Przedsiębiorcy'!E5*3.6*$F$4/1000000</f>
        <v>0.19912983236944617</v>
      </c>
      <c r="C31" s="264">
        <f>'Podsumowanie- Przedsiębiorcy'!E5*3.6*$F$5/1000000</f>
        <v>0.19912983236944617</v>
      </c>
      <c r="D31" s="264">
        <f>'Podsumowanie- Przedsiębiorcy'!E5*3.6*$F$7/1000000</f>
        <v>9.2927255105741544</v>
      </c>
      <c r="E31" s="264">
        <f>'Podsumowanie- Przedsiębiorcy'!E5*3.6*$F$8/1000000</f>
        <v>4.6463627552870772</v>
      </c>
      <c r="F31" s="264">
        <f>'Podsumowanie- Przedsiębiorcy'!E5*3.6*$F$6/1000000000</f>
        <v>6.6376610789815383E-4</v>
      </c>
      <c r="G31" s="265">
        <f>SUM(B31:F31)</f>
        <v>14.338011696708023</v>
      </c>
      <c r="H31" s="267"/>
    </row>
    <row r="32" spans="1:8">
      <c r="A32" s="270" t="s">
        <v>162</v>
      </c>
      <c r="B32" s="264">
        <f>'Podsumowanie- Przedsiębiorcy'!F5*3.6*$G$4/1000000</f>
        <v>5.6692016640000009</v>
      </c>
      <c r="C32" s="264">
        <f>'Podsumowanie- Przedsiębiorcy'!F5*3.6*$G$5/1000000</f>
        <v>5.5510932960000003</v>
      </c>
      <c r="D32" s="264">
        <f>'Podsumowanie- Przedsiębiorcy'!F5*3.6*$G$7/1000000</f>
        <v>0.12991920479999999</v>
      </c>
      <c r="E32" s="264">
        <f>'Podsumowanie- Przedsiębiorcy'!F5*3.6*$G$8/1000000</f>
        <v>0.94486694400000015</v>
      </c>
      <c r="F32" s="264">
        <f>'Podsumowanie- Przedsiębiorcy'!F5*3.6*$G$6/1000000000</f>
        <v>1.4291112528000002E-3</v>
      </c>
      <c r="G32" s="265">
        <f>SUM(B32:F32)</f>
        <v>12.296510220052802</v>
      </c>
      <c r="H32" s="266">
        <f>SUM(G30:G32)</f>
        <v>235.05062830239487</v>
      </c>
    </row>
    <row r="33" spans="1:11">
      <c r="A33" s="270" t="s">
        <v>11</v>
      </c>
      <c r="B33" s="264">
        <f>'Podsumowanie- Przedsiębiorcy'!D5*3.6*E4/1000000</f>
        <v>7.4712457727999998E-3</v>
      </c>
      <c r="C33" s="264">
        <f>'Podsumowanie- Przedsiębiorcy'!D5*3.6*E5/1000000</f>
        <v>7.4712457727999998E-3</v>
      </c>
      <c r="D33" s="264">
        <f>'Podsumowanie- Przedsiębiorcy'!D5*3.6*E7/1000000</f>
        <v>7.4712457727999998E-3</v>
      </c>
      <c r="E33" s="264">
        <f>'Podsumowanie- Przedsiębiorcy'!D5*3.6*E8/1000000</f>
        <v>0.74712457727999992</v>
      </c>
      <c r="F33" s="264">
        <f>'Podsumowanie- Przedsiębiorcy'!D5*3.6*E6/1000000</f>
        <v>0</v>
      </c>
      <c r="G33" s="265">
        <f>SUM(B33:F33)</f>
        <v>0.76953831459839994</v>
      </c>
      <c r="H33" s="369"/>
    </row>
    <row r="34" spans="1:11">
      <c r="A34" s="488">
        <v>2015</v>
      </c>
      <c r="B34" s="261" t="s">
        <v>241</v>
      </c>
      <c r="C34" s="262" t="s">
        <v>242</v>
      </c>
      <c r="D34" s="261" t="s">
        <v>243</v>
      </c>
      <c r="E34" s="262" t="s">
        <v>244</v>
      </c>
      <c r="F34" s="262" t="s">
        <v>245</v>
      </c>
      <c r="G34" s="489" t="s">
        <v>246</v>
      </c>
      <c r="H34" s="268"/>
    </row>
    <row r="35" spans="1:11">
      <c r="A35" s="488"/>
      <c r="B35" s="489" t="str">
        <f>B29</f>
        <v>Usługi, handel, przemysł</v>
      </c>
      <c r="C35" s="489"/>
      <c r="D35" s="489"/>
      <c r="E35" s="489"/>
      <c r="F35" s="489"/>
      <c r="G35" s="489"/>
      <c r="H35" s="268"/>
    </row>
    <row r="36" spans="1:11">
      <c r="A36" s="263" t="str">
        <f>A30</f>
        <v>Węgiel kamienny</v>
      </c>
      <c r="B36" s="264">
        <f>'Podsumowanie- Przedsiębiorcy'!C9*3.6*$C$4/1000000</f>
        <v>34.416998248763086</v>
      </c>
      <c r="C36" s="264">
        <f>'Podsumowanie- Przedsiębiorcy'!C9*3.6*C5/1000000</f>
        <v>30.745851768895019</v>
      </c>
      <c r="D36" s="264">
        <f>'Podsumowanie- Przedsiębiorcy'!C9*3.6*$C$7/1000000</f>
        <v>137.66799299505234</v>
      </c>
      <c r="E36" s="264">
        <f>'Podsumowanie- Przedsiębiorcy'!C9*3.6*$C$8/1000000</f>
        <v>24.168380992464744</v>
      </c>
      <c r="F36" s="264">
        <f>'Podsumowanie- Przedsiębiorcy'!C9*3.6*$C$6/1000000000</f>
        <v>4.1300397898515702E-2</v>
      </c>
      <c r="G36" s="265">
        <f>SUM(B36:F36)</f>
        <v>227.04052440307368</v>
      </c>
      <c r="H36" s="267"/>
    </row>
    <row r="37" spans="1:11">
      <c r="A37" s="263" t="str">
        <f>A31</f>
        <v>Olej opałowy</v>
      </c>
      <c r="B37" s="264">
        <f>'Podsumowanie- Przedsiębiorcy'!E9*3.6*$F$4/1000000</f>
        <v>0.21692441313437541</v>
      </c>
      <c r="C37" s="264">
        <f>'Podsumowanie- Przedsiębiorcy'!E9*3.6*$F$5/1000000</f>
        <v>0.21692441313437541</v>
      </c>
      <c r="D37" s="264">
        <f>'Podsumowanie- Przedsiębiorcy'!E9*3.6*$F$7/1000000</f>
        <v>10.123139279604187</v>
      </c>
      <c r="E37" s="264">
        <f>'Podsumowanie- Przedsiębiorcy'!E9*3.6*$F$8/1000000</f>
        <v>5.0615696398020935</v>
      </c>
      <c r="F37" s="264">
        <f>'Podsumowanie- Przedsiębiorcy'!E9*3.6*$F$6/1000000000</f>
        <v>7.2308137711458477E-4</v>
      </c>
      <c r="G37" s="265">
        <f>SUM(B37:F37)</f>
        <v>15.619280827052144</v>
      </c>
      <c r="H37" s="267"/>
      <c r="I37" s="58"/>
      <c r="J37" s="58"/>
      <c r="K37" s="58"/>
    </row>
    <row r="38" spans="1:11">
      <c r="A38" s="263" t="str">
        <f>A32</f>
        <v>Drewno opałowe</v>
      </c>
      <c r="B38" s="264">
        <f>'Podsumowanie- Przedsiębiorcy'!F9*3.6*$G$4/1000000</f>
        <v>6.1758111744000006</v>
      </c>
      <c r="C38" s="264">
        <f>'Podsumowanie- Przedsiębiorcy'!F9*3.6*$G$5/1000000</f>
        <v>6.0471484416000001</v>
      </c>
      <c r="D38" s="264">
        <f>'Podsumowanie- Przedsiębiorcy'!F9*3.6*$G$7/1000000</f>
        <v>0.14152900608000002</v>
      </c>
      <c r="E38" s="264">
        <f>'Podsumowanie- Przedsiębiorcy'!F9*3.6*$G$8/1000000</f>
        <v>1.0293018624000001</v>
      </c>
      <c r="F38" s="264">
        <f>'Podsumowanie- Przedsiębiorcy'!F9*3.6*$G$6/1000000000</f>
        <v>1.5568190668800001E-3</v>
      </c>
      <c r="G38" s="265">
        <f>SUM(B38:F38)</f>
        <v>13.395347303546883</v>
      </c>
      <c r="H38" s="267"/>
      <c r="I38" s="58"/>
      <c r="J38" s="58"/>
      <c r="K38" s="58"/>
    </row>
    <row r="39" spans="1:11">
      <c r="A39" s="263" t="str">
        <f>A33</f>
        <v>Gaz ziemny</v>
      </c>
      <c r="B39" s="264">
        <f>'Podsumowanie- Przedsiębiorcy'!$D$9*3.6*E4/1000000</f>
        <v>7.2381977395199991E-3</v>
      </c>
      <c r="C39" s="264">
        <f>'Podsumowanie- Przedsiębiorcy'!$D$9*3.6*E5/1000000</f>
        <v>7.2381977395199991E-3</v>
      </c>
      <c r="D39" s="264">
        <f>'Podsumowanie- Przedsiębiorcy'!$D$9*3.6*E7/1000000</f>
        <v>7.2381977395199991E-3</v>
      </c>
      <c r="E39" s="264">
        <f>'Podsumowanie- Przedsiębiorcy'!$D$9*3.6*E8/1000000</f>
        <v>0.72381977395199992</v>
      </c>
      <c r="F39" s="264">
        <f>'Podsumowanie- Przedsiębiorcy'!$D$9*3.6*E6/1000000</f>
        <v>0</v>
      </c>
      <c r="G39" s="265">
        <f>SUM(B39:F39)</f>
        <v>0.74553436717055988</v>
      </c>
      <c r="H39" s="370"/>
      <c r="I39" s="58"/>
      <c r="J39" s="58"/>
      <c r="K39" s="58"/>
    </row>
    <row r="40" spans="1:11">
      <c r="H40" s="268"/>
      <c r="I40" s="58"/>
      <c r="J40" s="58"/>
      <c r="K40" s="58"/>
    </row>
    <row r="41" spans="1:11">
      <c r="A41" s="488">
        <v>2010</v>
      </c>
      <c r="B41" s="261" t="s">
        <v>241</v>
      </c>
      <c r="C41" s="262" t="s">
        <v>242</v>
      </c>
      <c r="D41" s="261" t="s">
        <v>243</v>
      </c>
      <c r="E41" s="262" t="s">
        <v>244</v>
      </c>
      <c r="F41" s="262" t="s">
        <v>245</v>
      </c>
      <c r="G41" s="489" t="s">
        <v>246</v>
      </c>
      <c r="H41" s="268"/>
      <c r="I41" s="58"/>
      <c r="J41" s="269"/>
      <c r="K41" s="58"/>
    </row>
    <row r="42" spans="1:11">
      <c r="A42" s="488"/>
      <c r="B42" s="489" t="s">
        <v>140</v>
      </c>
      <c r="C42" s="489"/>
      <c r="D42" s="489"/>
      <c r="E42" s="489"/>
      <c r="F42" s="489"/>
      <c r="G42" s="489"/>
      <c r="H42" s="268"/>
      <c r="I42" s="58"/>
      <c r="J42" s="269"/>
      <c r="K42" s="58"/>
    </row>
    <row r="43" spans="1:11">
      <c r="A43" s="271" t="str">
        <f>'[1]TRANSPORT '!B125</f>
        <v>Benzyna</v>
      </c>
      <c r="B43" s="264">
        <f>'Transport- rok bazowy '!H54*3.6*$M$4/1000000</f>
        <v>3.3158466164695934E-4</v>
      </c>
      <c r="C43" s="264">
        <f>'Transport- rok bazowy '!H54*3.6*$M$5/1000000</f>
        <v>3.3158466164695934E-4</v>
      </c>
      <c r="D43" s="264">
        <f>'Transport- rok bazowy '!H54*3.6*$M$7/1000000</f>
        <v>3.3158466164695927E-3</v>
      </c>
      <c r="E43" s="264">
        <f>'Transport- rok bazowy '!H54*3.6*$M$8/1000000</f>
        <v>1.1307036962161312</v>
      </c>
      <c r="F43" s="264">
        <f>'Transport- rok bazowy '!H54*3.6*$M$6/1000000</f>
        <v>3.5479558796224642E-4</v>
      </c>
      <c r="G43" s="265">
        <f>SUM(B43:F43)</f>
        <v>1.1350375077438568</v>
      </c>
      <c r="H43" s="267"/>
      <c r="I43" s="58"/>
      <c r="J43" s="269"/>
      <c r="K43" s="58"/>
    </row>
    <row r="44" spans="1:11">
      <c r="A44" s="271" t="str">
        <f>'[1]TRANSPORT '!B126</f>
        <v>Olej napędowy</v>
      </c>
      <c r="B44" s="264">
        <f>'Transport- rok bazowy '!H55*3.6*$L$4/1000000</f>
        <v>0.19272326672815612</v>
      </c>
      <c r="C44" s="264">
        <f>'Transport- rok bazowy '!H55*3.6*$L$5/1000000</f>
        <v>0.19272326672815612</v>
      </c>
      <c r="D44" s="264">
        <f>'Transport- rok bazowy '!H55*3.6*$L$7/1000000</f>
        <v>3.2120544454692689E-3</v>
      </c>
      <c r="E44" s="264">
        <f>'Transport- rok bazowy '!H55*3.6*$L$8/1000000</f>
        <v>0.44968762236569765</v>
      </c>
      <c r="F44" s="264">
        <f>'Transport- rok bazowy '!H55*3.6*$L$6/1000000</f>
        <v>9.5398017030437279E-3</v>
      </c>
      <c r="G44" s="265">
        <f>SUM(B44:F44)</f>
        <v>0.84788601197052293</v>
      </c>
      <c r="H44" s="267"/>
      <c r="I44" s="58"/>
      <c r="J44" s="58"/>
      <c r="K44" s="58"/>
    </row>
    <row r="45" spans="1:11">
      <c r="A45" s="271" t="str">
        <f>'[1]TRANSPORT '!B127</f>
        <v>LPG</v>
      </c>
      <c r="B45" s="264">
        <f>'Transport- rok bazowy '!H56*3.6*$K$4/1000000</f>
        <v>0</v>
      </c>
      <c r="C45" s="264">
        <f>'Transport- rok bazowy '!H56*3.6*$K$5/1000000</f>
        <v>0</v>
      </c>
      <c r="D45" s="264">
        <f>'Transport- rok bazowy '!H56*3.6*$K$7/1000000</f>
        <v>0</v>
      </c>
      <c r="E45" s="264">
        <f>'Transport- rok bazowy '!H56*3.6*$K$8/1000000</f>
        <v>0.94281561963079386</v>
      </c>
      <c r="F45" s="264">
        <f>'Transport- rok bazowy '!H56*3.6*$K$6/1000000</f>
        <v>0</v>
      </c>
      <c r="G45" s="265">
        <f>SUM(B45:F45)</f>
        <v>0.94281561963079386</v>
      </c>
      <c r="H45" s="266">
        <f>SUM(G43:G45)</f>
        <v>2.9257391393451737</v>
      </c>
      <c r="I45" s="58"/>
      <c r="J45" s="58"/>
      <c r="K45" s="58"/>
    </row>
    <row r="46" spans="1:11">
      <c r="A46" s="488">
        <v>2015</v>
      </c>
      <c r="B46" s="261" t="s">
        <v>241</v>
      </c>
      <c r="C46" s="262" t="s">
        <v>242</v>
      </c>
      <c r="D46" s="261" t="s">
        <v>243</v>
      </c>
      <c r="E46" s="262" t="s">
        <v>244</v>
      </c>
      <c r="F46" s="262" t="s">
        <v>245</v>
      </c>
      <c r="G46" s="489" t="s">
        <v>246</v>
      </c>
      <c r="H46" s="268"/>
      <c r="I46" s="58"/>
      <c r="J46" s="58"/>
      <c r="K46" s="58"/>
    </row>
    <row r="47" spans="1:11">
      <c r="A47" s="488"/>
      <c r="B47" s="489" t="str">
        <f>B42</f>
        <v>Transport lokalny</v>
      </c>
      <c r="C47" s="489"/>
      <c r="D47" s="489"/>
      <c r="E47" s="489"/>
      <c r="F47" s="489"/>
      <c r="G47" s="489"/>
      <c r="H47" s="268"/>
      <c r="I47" s="58"/>
      <c r="J47" s="58"/>
      <c r="K47" s="58"/>
    </row>
    <row r="48" spans="1:11">
      <c r="A48" s="263" t="str">
        <f>A43</f>
        <v>Benzyna</v>
      </c>
      <c r="B48" s="264">
        <f>'Transport- rok kontrolny'!H54*3.6*$M$4/1000000</f>
        <v>3.5454723935822029E-4</v>
      </c>
      <c r="C48" s="264">
        <f>'Transport- rok kontrolny'!H54*3.6*$M$5/1000000</f>
        <v>3.5454723935822029E-4</v>
      </c>
      <c r="D48" s="264">
        <f>'Transport- rok kontrolny'!H54*3.6*$M$7/1000000</f>
        <v>3.5454723935822025E-3</v>
      </c>
      <c r="E48" s="264">
        <f>'Transport- rok kontrolny'!H54*3.6*$M$8/1000000</f>
        <v>1.2090060862115313</v>
      </c>
      <c r="F48" s="264">
        <f>'Transport- rok kontrolny'!H54*3.6*$M$6/1000000</f>
        <v>3.7936554611329564E-4</v>
      </c>
      <c r="G48" s="265">
        <f>SUM(B48:F48)</f>
        <v>1.2136400186299432</v>
      </c>
      <c r="H48" s="267"/>
      <c r="I48" s="58"/>
      <c r="J48" s="58"/>
      <c r="K48" s="58"/>
    </row>
    <row r="49" spans="1:11">
      <c r="A49" s="263" t="str">
        <f>A44</f>
        <v>Olej napędowy</v>
      </c>
      <c r="B49" s="264">
        <f>'Transport- rok kontrolny'!H55*3.6*$L$4/1000000</f>
        <v>0.18529020134842833</v>
      </c>
      <c r="C49" s="264">
        <f>'Transport- rok kontrolny'!H55*3.6*$L$5/1000000</f>
        <v>0.18529020134842833</v>
      </c>
      <c r="D49" s="264">
        <f>'Transport- rok kontrolny'!H55*3.6*$L$7/1000000</f>
        <v>3.0881700224738053E-3</v>
      </c>
      <c r="E49" s="264">
        <f>'Transport- rok kontrolny'!H55*3.6*$L$8/1000000</f>
        <v>0.43234380314633275</v>
      </c>
      <c r="F49" s="264">
        <f>'Transport- rok kontrolny'!H55*3.6*$L$6/1000000</f>
        <v>9.1718649667471997E-3</v>
      </c>
      <c r="G49" s="265">
        <f>SUM(B49:F49)</f>
        <v>0.81518424083241037</v>
      </c>
      <c r="H49" s="267"/>
      <c r="I49" s="58"/>
      <c r="J49" s="58"/>
      <c r="K49" s="58"/>
    </row>
    <row r="50" spans="1:11">
      <c r="A50" s="263" t="str">
        <f>A45</f>
        <v>LPG</v>
      </c>
      <c r="B50" s="264">
        <f>'Transport- rok kontrolny'!H56*3.6*$K$4/1000000</f>
        <v>0</v>
      </c>
      <c r="C50" s="264">
        <f>'Transport- rok kontrolny'!H56*3.6*$K$5/1000000</f>
        <v>0</v>
      </c>
      <c r="D50" s="264">
        <f>'Transport- rok kontrolny'!H56*3.6*$K$7/1000000</f>
        <v>0</v>
      </c>
      <c r="E50" s="264">
        <f>'Transport- rok kontrolny'!H56*3.6*$K$8/1000000</f>
        <v>1.0396039402372896</v>
      </c>
      <c r="F50" s="264">
        <f>'Transport- rok kontrolny'!H56*3.6*$K$6/1000000</f>
        <v>0</v>
      </c>
      <c r="G50" s="265">
        <f>SUM(B50:F50)</f>
        <v>1.0396039402372896</v>
      </c>
      <c r="H50" s="266">
        <f>SUM(G48:G50)</f>
        <v>3.0684281996996434</v>
      </c>
    </row>
  </sheetData>
  <mergeCells count="36">
    <mergeCell ref="A41:A42"/>
    <mergeCell ref="G41:G42"/>
    <mergeCell ref="B42:F42"/>
    <mergeCell ref="A46:A47"/>
    <mergeCell ref="G46:G47"/>
    <mergeCell ref="B47:F47"/>
    <mergeCell ref="A28:A29"/>
    <mergeCell ref="G28:G29"/>
    <mergeCell ref="B29:F29"/>
    <mergeCell ref="A34:A35"/>
    <mergeCell ref="G34:G35"/>
    <mergeCell ref="B35:F35"/>
    <mergeCell ref="A17:A18"/>
    <mergeCell ref="G17:G18"/>
    <mergeCell ref="B18:F18"/>
    <mergeCell ref="A22:A23"/>
    <mergeCell ref="G22:G23"/>
    <mergeCell ref="B23:F23"/>
    <mergeCell ref="A10:A11"/>
    <mergeCell ref="G10:G11"/>
    <mergeCell ref="B11:F11"/>
    <mergeCell ref="A13:A14"/>
    <mergeCell ref="G13:G14"/>
    <mergeCell ref="B14:F14"/>
    <mergeCell ref="I2:I3"/>
    <mergeCell ref="J2:M2"/>
    <mergeCell ref="J9:J10"/>
    <mergeCell ref="K9:K10"/>
    <mergeCell ref="L9:L10"/>
    <mergeCell ref="M9:M10"/>
    <mergeCell ref="G2:H2"/>
    <mergeCell ref="A2:A3"/>
    <mergeCell ref="B2:B3"/>
    <mergeCell ref="C2:D2"/>
    <mergeCell ref="E2:E3"/>
    <mergeCell ref="F2:F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view="pageBreakPreview" topLeftCell="A25" zoomScale="60" zoomScaleNormal="100" workbookViewId="0">
      <selection activeCell="B48" sqref="B48:H54"/>
    </sheetView>
  </sheetViews>
  <sheetFormatPr defaultRowHeight="14.4"/>
  <cols>
    <col min="1" max="1" width="20.33203125" customWidth="1"/>
    <col min="5" max="5" width="11.44140625" customWidth="1"/>
    <col min="8" max="8" width="11.33203125" customWidth="1"/>
  </cols>
  <sheetData>
    <row r="1" spans="1:8">
      <c r="A1" s="491" t="s">
        <v>69</v>
      </c>
      <c r="B1" s="491" t="s">
        <v>247</v>
      </c>
      <c r="C1" s="491"/>
      <c r="D1" s="491"/>
      <c r="E1" s="490" t="s">
        <v>248</v>
      </c>
      <c r="F1" s="490" t="s">
        <v>249</v>
      </c>
      <c r="G1" s="490" t="s">
        <v>250</v>
      </c>
      <c r="H1" s="490" t="s">
        <v>251</v>
      </c>
    </row>
    <row r="2" spans="1:8" ht="122.4" customHeight="1">
      <c r="A2" s="491"/>
      <c r="B2" s="491" t="s">
        <v>252</v>
      </c>
      <c r="C2" s="491"/>
      <c r="D2" s="491"/>
      <c r="E2" s="490"/>
      <c r="F2" s="490"/>
      <c r="G2" s="490"/>
      <c r="H2" s="490"/>
    </row>
    <row r="3" spans="1:8">
      <c r="A3" s="272"/>
      <c r="B3" s="272">
        <v>2010</v>
      </c>
      <c r="C3" s="272">
        <v>2015</v>
      </c>
      <c r="D3" s="272">
        <v>2020</v>
      </c>
      <c r="E3" s="273" t="s">
        <v>253</v>
      </c>
      <c r="F3" s="273" t="s">
        <v>252</v>
      </c>
      <c r="G3" s="273" t="s">
        <v>252</v>
      </c>
      <c r="H3" s="273" t="s">
        <v>253</v>
      </c>
    </row>
    <row r="4" spans="1:8">
      <c r="A4" s="261" t="s">
        <v>70</v>
      </c>
      <c r="B4" s="274">
        <f>'Emisja pozostałych pyłów,gazów'!B12</f>
        <v>2.0682670235904004E-3</v>
      </c>
      <c r="C4" s="110">
        <f>'Emisja pozostałych pyłów,gazów'!B15</f>
        <v>1.7766314001792E-3</v>
      </c>
      <c r="D4" s="130">
        <f>C4</f>
        <v>1.7766314001792E-3</v>
      </c>
      <c r="E4" s="275">
        <f>D4/B4-100%</f>
        <v>-0.1410048219523109</v>
      </c>
      <c r="F4" s="276">
        <f>'PLAN DZIAŁAŃ'!H3+'PLAN DZIAŁAŃ'!H4+'PLAN DZIAŁAŃ'!H5+'PLAN DZIAŁAŃ'!H6+'PLAN DZIAŁAŃ'!H7+'PLAN DZIAŁAŃ'!H8</f>
        <v>4.3978203050227204E-4</v>
      </c>
      <c r="G4" s="130">
        <f>D4-F4</f>
        <v>1.3368493696769279E-3</v>
      </c>
      <c r="H4" s="277">
        <f>(G4-B4)/B4</f>
        <v>-0.35363792274934147</v>
      </c>
    </row>
    <row r="5" spans="1:8">
      <c r="A5" s="261" t="s">
        <v>71</v>
      </c>
      <c r="B5" s="274">
        <f>'Emisja pozostałych pyłów,gazów'!B19+'Emisja pozostałych pyłów,gazów'!B20+'Emisja pozostałych pyłów,gazów'!B21</f>
        <v>58.975679198104295</v>
      </c>
      <c r="C5" s="110">
        <f>'Emisja pozostałych pyłów,gazów'!B24+'Emisja pozostałych pyłów,gazów'!B25+'Emisja pozostałych pyłów,gazów'!B26</f>
        <v>61.313173177723968</v>
      </c>
      <c r="D5" s="110">
        <f>C5*'Prognozy ogolne'!I21/'Prognozy ogolne'!D21</f>
        <v>61.959668692175441</v>
      </c>
      <c r="E5" s="275">
        <f t="shared" ref="E5:E8" si="0">D5/B5-100%</f>
        <v>5.059695004185838E-2</v>
      </c>
      <c r="F5" s="276">
        <f>'PLAN DZIAŁAŃ'!H14</f>
        <v>18.626786788169309</v>
      </c>
      <c r="G5" s="130">
        <f t="shared" ref="G5:G8" si="1">D5-F5</f>
        <v>43.332881904006129</v>
      </c>
      <c r="H5" s="277">
        <f>(G5-B5)/B5</f>
        <v>-0.26524149457529239</v>
      </c>
    </row>
    <row r="6" spans="1:8">
      <c r="A6" s="261" t="s">
        <v>140</v>
      </c>
      <c r="B6" s="274">
        <f>'Emisja pozostałych pyłów,gazów'!B43+'Emisja pozostałych pyłów,gazów'!B44+'Emisja pozostałych pyłów,gazów'!B45</f>
        <v>0.19305485138980308</v>
      </c>
      <c r="C6" s="110">
        <f>'Emisja pozostałych pyłów,gazów'!B48+'Emisja pozostałych pyłów,gazów'!B49+'Emisja pozostałych pyłów,gazów'!B50</f>
        <v>0.18564474858778654</v>
      </c>
      <c r="D6" s="110">
        <f>C6*'Prognoza transport suma'!H4/'Prognoza transport suma'!C4</f>
        <v>0.25582496767833018</v>
      </c>
      <c r="E6" s="275">
        <f t="shared" si="0"/>
        <v>0.32514135664887278</v>
      </c>
      <c r="F6" s="276">
        <f>'PLAN DZIAŁAŃ'!H10</f>
        <v>9.0665256795827674E-3</v>
      </c>
      <c r="G6" s="130">
        <f t="shared" si="1"/>
        <v>0.24675844199874741</v>
      </c>
      <c r="H6" s="277">
        <f t="shared" ref="H6:H10" si="2">(G6-B6)/B6</f>
        <v>0.27817788686651412</v>
      </c>
    </row>
    <row r="7" spans="1:8">
      <c r="A7" s="261" t="s">
        <v>73</v>
      </c>
      <c r="B7" s="274">
        <v>0</v>
      </c>
      <c r="C7" s="110">
        <v>0</v>
      </c>
      <c r="D7" s="110">
        <f>C7</f>
        <v>0</v>
      </c>
      <c r="E7" s="275">
        <v>0</v>
      </c>
      <c r="F7" s="276">
        <v>0</v>
      </c>
      <c r="G7" s="130">
        <f t="shared" si="1"/>
        <v>0</v>
      </c>
      <c r="H7" s="277">
        <v>0</v>
      </c>
    </row>
    <row r="8" spans="1:8">
      <c r="A8" s="261" t="s">
        <v>74</v>
      </c>
      <c r="B8" s="274">
        <f>'Emisja pozostałych pyłów,gazów'!B30+'Emisja pozostałych pyłów,gazów'!B31+'Emisja pozostałych pyłów,gazów'!B32+'Emisja pozostałych pyłów,gazów'!B33</f>
        <v>37.469531603311481</v>
      </c>
      <c r="C8" s="110">
        <f>'Emisja pozostałych pyłów,gazów'!B36+'Emisja pozostałych pyłów,gazów'!B37+'Emisja pozostałych pyłów,gazów'!B38+'Emisja pozostałych pyłów,gazów'!B39</f>
        <v>40.816972034036986</v>
      </c>
      <c r="D8" s="110">
        <f>C8*'Prognozy ogolne'!I89/'Prognozy ogolne'!D89</f>
        <v>44.601623104399394</v>
      </c>
      <c r="E8" s="275">
        <f t="shared" si="0"/>
        <v>0.19034375920668278</v>
      </c>
      <c r="F8" s="276">
        <f>'PLAN DZIAŁAŃ'!H16</f>
        <v>6.8926748844969481</v>
      </c>
      <c r="G8" s="130">
        <f t="shared" si="1"/>
        <v>37.708948219902446</v>
      </c>
      <c r="H8" s="277">
        <f t="shared" si="2"/>
        <v>6.3896346270260317E-3</v>
      </c>
    </row>
    <row r="9" spans="1:8">
      <c r="A9" s="261" t="s">
        <v>0</v>
      </c>
      <c r="B9" s="278">
        <f>SUM(B4:B8)</f>
        <v>96.640333919829175</v>
      </c>
      <c r="C9" s="278">
        <f>SUM(C4:C8)</f>
        <v>102.31756659174891</v>
      </c>
      <c r="D9" s="278">
        <f>SUM(D4:D8)</f>
        <v>106.81889339565333</v>
      </c>
      <c r="E9" s="279">
        <f>D9/B9-100%</f>
        <v>0.10532413396116858</v>
      </c>
      <c r="F9" s="280">
        <f>SUM(F4:F8)</f>
        <v>25.52896798037634</v>
      </c>
      <c r="G9" s="281">
        <f t="shared" ref="G9" si="3">D9-F9</f>
        <v>81.289925415276997</v>
      </c>
      <c r="H9" s="277">
        <f t="shared" si="2"/>
        <v>-0.15884059876372694</v>
      </c>
    </row>
    <row r="10" spans="1:8" ht="26.4" customHeight="1">
      <c r="A10" s="283" t="s">
        <v>254</v>
      </c>
      <c r="B10" s="292">
        <f>B9/'Prognozy ogolne'!P3</f>
        <v>1.7356381810314146E-2</v>
      </c>
      <c r="C10" s="292">
        <f>C9/'Prognozy ogolne'!D21</f>
        <v>1.8170407847939784E-2</v>
      </c>
      <c r="D10" s="292">
        <f>D9/'Prognozy ogolne'!I21</f>
        <v>1.8771857698226771E-2</v>
      </c>
      <c r="E10" s="291">
        <f>D10/B10-100%</f>
        <v>8.1553626981832661E-2</v>
      </c>
      <c r="F10" s="292">
        <f>F9/'Prognozy ogolne'!I21</f>
        <v>4.486342620449885E-3</v>
      </c>
      <c r="G10" s="292">
        <f>G9/'Prognozy ogolne'!J21</f>
        <v>1.4255578473607077E-2</v>
      </c>
      <c r="H10" s="282">
        <f t="shared" si="2"/>
        <v>-0.17865493918003095</v>
      </c>
    </row>
    <row r="11" spans="1:8">
      <c r="A11" s="97"/>
      <c r="B11" s="97"/>
      <c r="C11" s="97"/>
      <c r="D11" s="97"/>
      <c r="E11" s="97"/>
      <c r="F11" s="97"/>
      <c r="G11" s="97"/>
      <c r="H11" s="97"/>
    </row>
    <row r="12" spans="1:8" ht="14.4" customHeight="1">
      <c r="A12" s="491" t="s">
        <v>69</v>
      </c>
      <c r="B12" s="494" t="s">
        <v>255</v>
      </c>
      <c r="C12" s="495"/>
      <c r="D12" s="496"/>
      <c r="E12" s="492" t="s">
        <v>248</v>
      </c>
      <c r="F12" s="492" t="s">
        <v>249</v>
      </c>
      <c r="G12" s="492" t="s">
        <v>250</v>
      </c>
      <c r="H12" s="490" t="s">
        <v>251</v>
      </c>
    </row>
    <row r="13" spans="1:8" ht="139.94999999999999" customHeight="1">
      <c r="A13" s="491"/>
      <c r="B13" s="494" t="s">
        <v>252</v>
      </c>
      <c r="C13" s="495"/>
      <c r="D13" s="496"/>
      <c r="E13" s="493"/>
      <c r="F13" s="493"/>
      <c r="G13" s="493"/>
      <c r="H13" s="490"/>
    </row>
    <row r="14" spans="1:8">
      <c r="A14" s="272"/>
      <c r="B14" s="272">
        <v>2010</v>
      </c>
      <c r="C14" s="272">
        <v>2015</v>
      </c>
      <c r="D14" s="272">
        <v>2020</v>
      </c>
      <c r="E14" s="273" t="s">
        <v>253</v>
      </c>
      <c r="F14" s="273" t="s">
        <v>252</v>
      </c>
      <c r="G14" s="273" t="s">
        <v>252</v>
      </c>
      <c r="H14" s="273" t="s">
        <v>253</v>
      </c>
    </row>
    <row r="15" spans="1:8">
      <c r="A15" s="261" t="s">
        <v>70</v>
      </c>
      <c r="B15" s="274">
        <f>'Emisja pozostałych pyłów,gazów'!C12</f>
        <v>2.0682670235904004E-3</v>
      </c>
      <c r="C15" s="274">
        <f>'Emisja pozostałych pyłów,gazów'!C15</f>
        <v>1.7766314001792E-3</v>
      </c>
      <c r="D15" s="130">
        <f>C15</f>
        <v>1.7766314001792E-3</v>
      </c>
      <c r="E15" s="275">
        <f>D15/B15-100%</f>
        <v>-0.1410048219523109</v>
      </c>
      <c r="F15" s="276">
        <f>'PLAN DZIAŁAŃ'!I3+'PLAN DZIAŁAŃ'!I4+'PLAN DZIAŁAŃ'!I5+'PLAN DZIAŁAŃ'!I6+'PLAN DZIAŁAŃ'!I7+'PLAN DZIAŁAŃ'!I8</f>
        <v>4.3978203050227204E-4</v>
      </c>
      <c r="G15" s="130">
        <f>D15-F15</f>
        <v>1.3368493696769279E-3</v>
      </c>
      <c r="H15" s="277">
        <f>-(B15-G15)/B15</f>
        <v>-0.35363792274934147</v>
      </c>
    </row>
    <row r="16" spans="1:8">
      <c r="A16" s="261" t="s">
        <v>71</v>
      </c>
      <c r="B16" s="274">
        <f>'Emisja pozostałych pyłów,gazów'!C19+'Emisja pozostałych pyłów,gazów'!C20+'Emisja pozostałych pyłów,gazów'!C21</f>
        <v>53.437538333464296</v>
      </c>
      <c r="C16" s="274">
        <f>'Emisja pozostałych pyłów,gazów'!C24+'Emisja pozostałych pyłów,gazów'!C25+'Emisja pozostałych pyłów,gazów'!C26</f>
        <v>55.555458446203971</v>
      </c>
      <c r="D16" s="110">
        <f>C16*'Prognozy ogolne'!I21/'Prognozy ogolne'!D21</f>
        <v>56.141243732257557</v>
      </c>
      <c r="E16" s="275">
        <f>D16/B16-100%</f>
        <v>5.0595620290766918E-2</v>
      </c>
      <c r="F16" s="276">
        <f>'PLAN DZIAŁAŃ'!I14</f>
        <v>16.877607629226524</v>
      </c>
      <c r="G16" s="130">
        <f t="shared" ref="G16:G20" si="4">D16-F16</f>
        <v>39.263636103031033</v>
      </c>
      <c r="H16" s="277">
        <f>-(B16-G16)/B16</f>
        <v>-0.26524242456649827</v>
      </c>
    </row>
    <row r="17" spans="1:8">
      <c r="A17" s="261" t="s">
        <v>140</v>
      </c>
      <c r="B17" s="274">
        <f>'Emisja pozostałych pyłów,gazów'!C43+'Emisja pozostałych pyłów,gazów'!C44+'Emisja pozostałych pyłów,gazów'!C45</f>
        <v>0.19305485138980308</v>
      </c>
      <c r="C17" s="274">
        <f>'Emisja pozostałych pyłów,gazów'!C48+'Emisja pozostałych pyłów,gazów'!C49+'Emisja pozostałych pyłów,gazów'!C50</f>
        <v>0.18564474858778654</v>
      </c>
      <c r="D17" s="110">
        <f>C17*'Prognoza transport suma'!H4/'Prognoza transport suma'!C4</f>
        <v>0.25582496767833018</v>
      </c>
      <c r="E17" s="275">
        <f>D17/B17-100%</f>
        <v>0.32514135664887278</v>
      </c>
      <c r="F17" s="276">
        <f>'PLAN DZIAŁAŃ'!I10</f>
        <v>9.0665256795827674E-3</v>
      </c>
      <c r="G17" s="130">
        <f t="shared" si="4"/>
        <v>0.24675844199874741</v>
      </c>
      <c r="H17" s="277">
        <f>-(B17-G17)/B17</f>
        <v>0.27817788686651412</v>
      </c>
    </row>
    <row r="18" spans="1:8">
      <c r="A18" s="261" t="s">
        <v>73</v>
      </c>
      <c r="B18" s="274">
        <f>0</f>
        <v>0</v>
      </c>
      <c r="C18" s="274">
        <f>0</f>
        <v>0</v>
      </c>
      <c r="D18" s="110">
        <f>C18</f>
        <v>0</v>
      </c>
      <c r="E18" s="275">
        <v>0</v>
      </c>
      <c r="F18" s="276">
        <v>0</v>
      </c>
      <c r="G18" s="130">
        <f t="shared" si="4"/>
        <v>0</v>
      </c>
      <c r="H18" s="277">
        <v>0</v>
      </c>
    </row>
    <row r="19" spans="1:8">
      <c r="A19" s="261" t="s">
        <v>74</v>
      </c>
      <c r="B19" s="274">
        <f>'Emisja pozostałych pyłów,gazów'!C30+'Emisja pozostałych pyłów,gazów'!C31+'Emisja pozostałych pyłów,gazów'!C32+'Emisja pozostałych pyłów,gazów'!C33</f>
        <v>33.981425490120095</v>
      </c>
      <c r="C19" s="274">
        <f>'Emisja pozostałych pyłów,gazów'!C36+'Emisja pozostałych pyłów,gazów'!C37+'Emisja pozostałych pyłów,gazów'!C38+'Emisja pozostałych pyłów,gazów'!C39</f>
        <v>37.017162821368913</v>
      </c>
      <c r="D19" s="110">
        <f>C19*'Prognozy ogolne'!I89/'Prognozy ogolne'!D89</f>
        <v>40.449486139640719</v>
      </c>
      <c r="E19" s="275">
        <f>D19/B19-100%</f>
        <v>0.19034106298457587</v>
      </c>
      <c r="F19" s="276">
        <f>'PLAN DZIAŁAŃ'!I16</f>
        <v>6.2510092189449571</v>
      </c>
      <c r="G19" s="130">
        <f t="shared" si="4"/>
        <v>34.198476920695761</v>
      </c>
      <c r="H19" s="277">
        <f>-(B19-G19)/B19</f>
        <v>6.3873550754594425E-3</v>
      </c>
    </row>
    <row r="20" spans="1:8">
      <c r="A20" s="261" t="s">
        <v>0</v>
      </c>
      <c r="B20" s="278">
        <f>SUM(B15:B19)</f>
        <v>87.614086941997783</v>
      </c>
      <c r="C20" s="278">
        <f>SUM(C15:C19)</f>
        <v>92.760042647560851</v>
      </c>
      <c r="D20" s="278">
        <f>SUM(D15:D19)</f>
        <v>96.848331470976774</v>
      </c>
      <c r="E20" s="279">
        <f>D20/B20-100%</f>
        <v>0.10539680148801001</v>
      </c>
      <c r="F20" s="280">
        <f>SUM(F15:F19)</f>
        <v>23.138123155881566</v>
      </c>
      <c r="G20" s="281">
        <f t="shared" si="4"/>
        <v>73.710208315095201</v>
      </c>
      <c r="H20" s="282">
        <f>-(B20-G20)/B20</f>
        <v>-0.15869455600338811</v>
      </c>
    </row>
    <row r="21" spans="1:8" ht="26.4" customHeight="1">
      <c r="A21" s="283" t="s">
        <v>254</v>
      </c>
      <c r="B21" s="284">
        <f>B20/'Prognozy ogolne'!P3</f>
        <v>1.5735288603088683E-2</v>
      </c>
      <c r="C21" s="284">
        <f>C20/'Prognozy ogolne'!D21</f>
        <v>1.6473102938654033E-2</v>
      </c>
      <c r="D21" s="284">
        <f>D20/'Prognozy ogolne'!I21</f>
        <v>1.7019677314480137E-2</v>
      </c>
      <c r="E21" s="279">
        <f>D21/B21-100%</f>
        <v>8.1624731759882829E-2</v>
      </c>
      <c r="F21" s="284">
        <f>F20/'Prognozy ogolne'!I21</f>
        <v>4.0661866218502582E-3</v>
      </c>
      <c r="G21" s="284">
        <f>G20/'Prognozy ogolne'!J21</f>
        <v>1.2926345467457998E-2</v>
      </c>
      <c r="H21" s="282">
        <f>-(B21-G21)/B21</f>
        <v>-0.1785123366011423</v>
      </c>
    </row>
    <row r="22" spans="1:8">
      <c r="A22" s="97"/>
      <c r="B22" s="97"/>
      <c r="C22" s="97"/>
      <c r="D22" s="97"/>
      <c r="E22" s="97"/>
      <c r="F22" s="97"/>
      <c r="G22" s="97"/>
      <c r="H22" s="97"/>
    </row>
    <row r="23" spans="1:8">
      <c r="A23" s="491" t="s">
        <v>69</v>
      </c>
      <c r="B23" s="494" t="s">
        <v>256</v>
      </c>
      <c r="C23" s="495"/>
      <c r="D23" s="496"/>
      <c r="E23" s="492" t="s">
        <v>248</v>
      </c>
      <c r="F23" s="492" t="s">
        <v>249</v>
      </c>
      <c r="G23" s="492" t="s">
        <v>250</v>
      </c>
      <c r="H23" s="492" t="s">
        <v>251</v>
      </c>
    </row>
    <row r="24" spans="1:8" ht="130.19999999999999" customHeight="1">
      <c r="A24" s="491"/>
      <c r="B24" s="494" t="s">
        <v>252</v>
      </c>
      <c r="C24" s="495"/>
      <c r="D24" s="496"/>
      <c r="E24" s="493"/>
      <c r="F24" s="493"/>
      <c r="G24" s="493"/>
      <c r="H24" s="493"/>
    </row>
    <row r="25" spans="1:8">
      <c r="A25" s="272"/>
      <c r="B25" s="272">
        <v>2010</v>
      </c>
      <c r="C25" s="272">
        <v>2015</v>
      </c>
      <c r="D25" s="272">
        <v>2020</v>
      </c>
      <c r="E25" s="273" t="s">
        <v>253</v>
      </c>
      <c r="F25" s="273" t="s">
        <v>252</v>
      </c>
      <c r="G25" s="273" t="s">
        <v>252</v>
      </c>
      <c r="H25" s="273" t="s">
        <v>253</v>
      </c>
    </row>
    <row r="26" spans="1:8">
      <c r="A26" s="261" t="s">
        <v>70</v>
      </c>
      <c r="B26" s="274">
        <f>'Emisja pozostałych pyłów,gazów'!D12</f>
        <v>2.0682670235904004E-3</v>
      </c>
      <c r="C26" s="274">
        <f>'Emisja pozostałych pyłów,gazów'!D15</f>
        <v>1.7766314001792E-3</v>
      </c>
      <c r="D26" s="130">
        <f>C26</f>
        <v>1.7766314001792E-3</v>
      </c>
      <c r="E26" s="275">
        <f>D26/B26-100%</f>
        <v>-0.1410048219523109</v>
      </c>
      <c r="F26" s="276">
        <f>'PLAN DZIAŁAŃ'!J3+'PLAN DZIAŁAŃ'!J4+'PLAN DZIAŁAŃ'!J5+'PLAN DZIAŁAŃ'!J6+'PLAN DZIAŁAŃ'!J7+'PLAN DZIAŁAŃ'!J8</f>
        <v>4.3978203050227204E-4</v>
      </c>
      <c r="G26" s="130">
        <f t="shared" ref="G26:G31" si="5">D26-F26</f>
        <v>1.3368493696769279E-3</v>
      </c>
      <c r="H26" s="277">
        <f>-(B26-G26)/B26</f>
        <v>-0.35363792274934147</v>
      </c>
    </row>
    <row r="27" spans="1:8">
      <c r="A27" s="261" t="s">
        <v>71</v>
      </c>
      <c r="B27" s="274">
        <f>'Emisja pozostałych pyłów,gazów'!D19+'Emisja pozostałych pyłów,gazów'!D20+'Emisja pozostałych pyłów,gazów'!D21</f>
        <v>201.05319113163239</v>
      </c>
      <c r="C27" s="274">
        <f>'Emisja pozostałych pyłów,gazów'!D24+'Emisja pozostałych pyłów,gazów'!D25+'Emisja pozostałych pyłów,gazów'!D26</f>
        <v>209.02371421874878</v>
      </c>
      <c r="D27" s="110">
        <f>C27*'Prognozy ogolne'!I21/'Prognozy ogolne'!D21</f>
        <v>211.22769236329381</v>
      </c>
      <c r="E27" s="275">
        <f>D27/B27-100%</f>
        <v>5.0606017116137325E-2</v>
      </c>
      <c r="F27" s="276">
        <f>'PLAN DZIAŁAŃ'!J14</f>
        <v>63.500875205695834</v>
      </c>
      <c r="G27" s="130">
        <f t="shared" si="5"/>
        <v>147.72681715759796</v>
      </c>
      <c r="H27" s="277">
        <f>-(B27-G27)/B27</f>
        <v>-0.26523515331383568</v>
      </c>
    </row>
    <row r="28" spans="1:8">
      <c r="A28" s="261" t="s">
        <v>140</v>
      </c>
      <c r="B28" s="274">
        <f>'Emisja pozostałych pyłów,gazów'!D43+'Emisja pozostałych pyłów,gazów'!D44+'Emisja pozostałych pyłów,gazów'!D45</f>
        <v>6.5279010619388612E-3</v>
      </c>
      <c r="C28" s="274">
        <f>'Emisja pozostałych pyłów,gazów'!D48+'Emisja pozostałych pyłów,gazów'!D49+'Emisja pozostałych pyłów,gazów'!D50</f>
        <v>6.6336424160560077E-3</v>
      </c>
      <c r="D28" s="110">
        <f>C28*'Prognoza transport suma'!H4/'Prognoza transport suma'!C4</f>
        <v>9.1413916611524145E-3</v>
      </c>
      <c r="E28" s="275">
        <f>D28/B28-100%</f>
        <v>0.4003569561511271</v>
      </c>
      <c r="F28" s="276">
        <f>'PLAN DZIAŁAŃ'!J10</f>
        <v>3.2397409445654587E-4</v>
      </c>
      <c r="G28" s="130">
        <f t="shared" si="5"/>
        <v>8.8174175666958683E-3</v>
      </c>
      <c r="H28" s="277">
        <f>-(B28-G28)/B28</f>
        <v>0.350727819406778</v>
      </c>
    </row>
    <row r="29" spans="1:8">
      <c r="A29" s="261" t="s">
        <v>73</v>
      </c>
      <c r="B29" s="274">
        <f>0</f>
        <v>0</v>
      </c>
      <c r="C29" s="274">
        <f>0</f>
        <v>0</v>
      </c>
      <c r="D29" s="110">
        <f>C29</f>
        <v>0</v>
      </c>
      <c r="E29" s="275">
        <v>0</v>
      </c>
      <c r="F29" s="276">
        <f>0</f>
        <v>0</v>
      </c>
      <c r="G29" s="130">
        <f t="shared" si="5"/>
        <v>0</v>
      </c>
      <c r="H29" s="277">
        <v>0</v>
      </c>
    </row>
    <row r="30" spans="1:8">
      <c r="A30" s="261" t="s">
        <v>74</v>
      </c>
      <c r="B30" s="274">
        <f>'Emisja pozostałych pyłów,gazów'!D30+'Emisja pozostałych pyłów,gazów'!D31+'Emisja pozostałych pyłów,gazów'!D32+'Emisja pozostałych pyłów,gazów'!D33</f>
        <v>135.80503140582385</v>
      </c>
      <c r="C30" s="274">
        <f>'Emisja pozostałych pyłów,gazów'!D36+'Emisja pozostałych pyłów,gazów'!D37+'Emisja pozostałych pyłów,gazów'!D38+'Emisja pozostałych pyłów,gazów'!D39</f>
        <v>147.93989947847604</v>
      </c>
      <c r="D30" s="110">
        <f>C30*'Prognozy ogolne'!I89/'Prognozy ogolne'!D89</f>
        <v>161.65725456409152</v>
      </c>
      <c r="E30" s="275">
        <f>D30/B30-100%</f>
        <v>0.19036277883559349</v>
      </c>
      <c r="F30" s="276">
        <f>'PLAN DZIAŁAŃ'!J16</f>
        <v>24.982294833138845</v>
      </c>
      <c r="G30" s="130">
        <f t="shared" si="5"/>
        <v>136.67495973095268</v>
      </c>
      <c r="H30" s="277">
        <f>-(B30-G30)/B30</f>
        <v>6.4057149880495448E-3</v>
      </c>
    </row>
    <row r="31" spans="1:8">
      <c r="A31" s="261" t="s">
        <v>0</v>
      </c>
      <c r="B31" s="278">
        <f>SUM(B26:B30)</f>
        <v>336.86681870554173</v>
      </c>
      <c r="C31" s="278">
        <f>SUM(C26:C30)</f>
        <v>356.97202397104104</v>
      </c>
      <c r="D31" s="278">
        <f>SUM(D26:D30)</f>
        <v>372.89586495044671</v>
      </c>
      <c r="E31" s="279">
        <f>D31/B31-100%</f>
        <v>0.10695338408024768</v>
      </c>
      <c r="F31" s="280">
        <f>SUM(F26:F30)</f>
        <v>88.48393379495964</v>
      </c>
      <c r="G31" s="281">
        <f t="shared" si="5"/>
        <v>284.41193115548708</v>
      </c>
      <c r="H31" s="282">
        <f>-(B31-G31)/B31</f>
        <v>-0.15571402298279169</v>
      </c>
    </row>
    <row r="32" spans="1:8" ht="28.8">
      <c r="A32" s="283" t="s">
        <v>254</v>
      </c>
      <c r="B32" s="284">
        <f>B31/'Prognozy ogolne'!P3</f>
        <v>6.050050623303551E-2</v>
      </c>
      <c r="C32" s="284">
        <f>C31/'Prognozy ogolne'!D21</f>
        <v>6.3394072806080809E-2</v>
      </c>
      <c r="D32" s="284">
        <f>D31/'Prognozy ogolne'!I21</f>
        <v>6.5530992604271018E-2</v>
      </c>
      <c r="E32" s="279">
        <f>D32/B32-100%</f>
        <v>8.3147839323180373E-2</v>
      </c>
      <c r="F32" s="284">
        <f>F31/'Prognozy ogolne'!I21</f>
        <v>1.5549756798415687E-2</v>
      </c>
      <c r="G32" s="284">
        <f>G31/'Prognozy ogolne'!J21</f>
        <v>4.9876495552242404E-2</v>
      </c>
      <c r="H32" s="282">
        <f>-(B32-G32)/B32</f>
        <v>-0.17560201297938899</v>
      </c>
    </row>
    <row r="33" spans="1:8">
      <c r="A33" s="97"/>
      <c r="B33" s="97"/>
      <c r="C33" s="97"/>
      <c r="D33" s="97"/>
      <c r="E33" s="97"/>
      <c r="F33" s="97"/>
      <c r="G33" s="97"/>
      <c r="H33" s="97"/>
    </row>
    <row r="34" spans="1:8">
      <c r="A34" s="491" t="s">
        <v>69</v>
      </c>
      <c r="B34" s="494" t="s">
        <v>257</v>
      </c>
      <c r="C34" s="495"/>
      <c r="D34" s="496"/>
      <c r="E34" s="492" t="s">
        <v>248</v>
      </c>
      <c r="F34" s="492" t="s">
        <v>249</v>
      </c>
      <c r="G34" s="492" t="s">
        <v>250</v>
      </c>
      <c r="H34" s="492" t="s">
        <v>251</v>
      </c>
    </row>
    <row r="35" spans="1:8" ht="126.6" customHeight="1">
      <c r="A35" s="491"/>
      <c r="B35" s="494" t="s">
        <v>252</v>
      </c>
      <c r="C35" s="495"/>
      <c r="D35" s="496"/>
      <c r="E35" s="493"/>
      <c r="F35" s="493"/>
      <c r="G35" s="493"/>
      <c r="H35" s="493"/>
    </row>
    <row r="36" spans="1:8">
      <c r="A36" s="272"/>
      <c r="B36" s="272">
        <v>2010</v>
      </c>
      <c r="C36" s="272">
        <v>2015</v>
      </c>
      <c r="D36" s="272">
        <v>2020</v>
      </c>
      <c r="E36" s="273" t="s">
        <v>253</v>
      </c>
      <c r="F36" s="273" t="s">
        <v>252</v>
      </c>
      <c r="G36" s="273" t="s">
        <v>252</v>
      </c>
      <c r="H36" s="273" t="s">
        <v>253</v>
      </c>
    </row>
    <row r="37" spans="1:8">
      <c r="A37" s="261" t="s">
        <v>70</v>
      </c>
      <c r="B37" s="274">
        <f>'Emisja pozostałych pyłów,gazów'!E12</f>
        <v>0.20682670235903999</v>
      </c>
      <c r="C37" s="274">
        <f>'Emisja pozostałych pyłów,gazów'!E15</f>
        <v>0.17766314001792</v>
      </c>
      <c r="D37" s="130">
        <f>C37</f>
        <v>0.17766314001792</v>
      </c>
      <c r="E37" s="275">
        <f>D37/B37-100%</f>
        <v>-0.14100482195231068</v>
      </c>
      <c r="F37" s="276">
        <f>'PLAN DZIAŁAŃ'!K3+'PLAN DZIAŁAŃ'!K4+'PLAN DZIAŁAŃ'!K5+'PLAN DZIAŁAŃ'!K6+'PLAN DZIAŁAŃ'!K7+'PLAN DZIAŁAŃ'!K8</f>
        <v>4.3978203050227205E-2</v>
      </c>
      <c r="G37" s="130">
        <f t="shared" ref="G37:G42" si="6">D37-F37</f>
        <v>0.13368493696769279</v>
      </c>
      <c r="H37" s="277">
        <f>-(B37-G37)/B37</f>
        <v>-0.35363792274934136</v>
      </c>
    </row>
    <row r="38" spans="1:8">
      <c r="A38" s="261" t="s">
        <v>71</v>
      </c>
      <c r="B38" s="274">
        <f>'Emisja pozostałych pyłów,gazów'!E19+'Emisja pozostałych pyłów,gazów'!E20+'Emisja pozostałych pyłów,gazów'!E21</f>
        <v>37.854415473856406</v>
      </c>
      <c r="C38" s="274">
        <f>'Emisja pozostałych pyłów,gazów'!E24+'Emisja pozostałych pyłów,gazów'!E25+'Emisja pozostałych pyłów,gazów'!E26</f>
        <v>39.280370532611244</v>
      </c>
      <c r="D38" s="110">
        <f>C38*'Prognozy ogolne'!I21/'Prognozy ogolne'!D21</f>
        <v>39.694548792178985</v>
      </c>
      <c r="E38" s="275">
        <f>D38/B38-100%</f>
        <v>4.8610797321475996E-2</v>
      </c>
      <c r="F38" s="276">
        <f>'PLAN DZIAŁAŃ'!K14</f>
        <v>11.933277123831264</v>
      </c>
      <c r="G38" s="130">
        <f t="shared" si="6"/>
        <v>27.761271668347721</v>
      </c>
      <c r="H38" s="277">
        <f>-(B38-G38)/B38</f>
        <v>-0.26663055496073812</v>
      </c>
    </row>
    <row r="39" spans="1:8">
      <c r="A39" s="261" t="s">
        <v>140</v>
      </c>
      <c r="B39" s="274">
        <f>'Emisja pozostałych pyłów,gazów'!E43+'Emisja pozostałych pyłów,gazów'!E44+'Emisja pozostałych pyłów,gazów'!E45</f>
        <v>2.5232069382126228</v>
      </c>
      <c r="C39" s="274">
        <f>'Emisja pozostałych pyłów,gazów'!E48+'Emisja pozostałych pyłów,gazów'!E49+'Emisja pozostałych pyłów,gazów'!E50</f>
        <v>2.6809538295951536</v>
      </c>
      <c r="D39" s="110">
        <f>C39*'Prognoza transport suma'!H4/'Prognoza transport suma'!C4</f>
        <v>3.6944483052745918</v>
      </c>
      <c r="E39" s="275">
        <f>D39/B39-100%</f>
        <v>0.4641875976655514</v>
      </c>
      <c r="F39" s="276">
        <f>'PLAN DZIAŁAŃ'!K10</f>
        <v>0.13093253068942109</v>
      </c>
      <c r="G39" s="130">
        <f t="shared" si="6"/>
        <v>3.5635157745851709</v>
      </c>
      <c r="H39" s="277">
        <f>-(B39-G39)/B39</f>
        <v>0.4122962808232753</v>
      </c>
    </row>
    <row r="40" spans="1:8">
      <c r="A40" s="261" t="s">
        <v>73</v>
      </c>
      <c r="B40" s="274">
        <f>0</f>
        <v>0</v>
      </c>
      <c r="C40" s="274">
        <f>0</f>
        <v>0</v>
      </c>
      <c r="D40" s="110">
        <f>C40</f>
        <v>0</v>
      </c>
      <c r="E40" s="275">
        <v>0</v>
      </c>
      <c r="F40" s="276">
        <f>0</f>
        <v>0</v>
      </c>
      <c r="G40" s="130">
        <f t="shared" si="6"/>
        <v>0</v>
      </c>
      <c r="H40" s="277">
        <v>0</v>
      </c>
    </row>
    <row r="41" spans="1:8">
      <c r="A41" s="261" t="s">
        <v>74</v>
      </c>
      <c r="B41" s="274">
        <f>'Emisja pozostałych pyłów,gazów'!E30+'Emisja pozostałych pyłów,gazów'!E31+'Emisja pozostałych pyłów,gazów'!E32+'Emisja pozostałych pyłów,gazów'!E33</f>
        <v>28.5241727657437</v>
      </c>
      <c r="C41" s="274">
        <f>'Emisja pozostałych pyłów,gazów'!E36+'Emisja pozostałych pyłów,gazów'!E37+'Emisja pozostałych pyłów,gazów'!E38+'Emisja pozostałych pyłów,gazów'!E39</f>
        <v>30.983072268618837</v>
      </c>
      <c r="D41" s="110">
        <f>C41*'Prognozy ogolne'!I89/'Prognozy ogolne'!D89</f>
        <v>33.85589971713123</v>
      </c>
      <c r="E41" s="275">
        <f>D41/B41-100%</f>
        <v>0.1869195995682198</v>
      </c>
      <c r="F41" s="276">
        <f>'PLAN DZIAŁAŃ'!K16</f>
        <v>5.2320452357999487</v>
      </c>
      <c r="G41" s="130">
        <f t="shared" si="6"/>
        <v>28.623854481331282</v>
      </c>
      <c r="H41" s="277">
        <f>-(B41-G41)/B41</f>
        <v>3.4946400166000913E-3</v>
      </c>
    </row>
    <row r="42" spans="1:8">
      <c r="A42" s="261" t="s">
        <v>0</v>
      </c>
      <c r="B42" s="278">
        <f>SUM(B37:B41)</f>
        <v>69.108621880171768</v>
      </c>
      <c r="C42" s="278">
        <f>SUM(C37:C41)</f>
        <v>73.122059770843151</v>
      </c>
      <c r="D42" s="278">
        <f>SUM(D37:D41)</f>
        <v>77.422559954602718</v>
      </c>
      <c r="E42" s="279">
        <f>D42/B42-100%</f>
        <v>0.12030247237235581</v>
      </c>
      <c r="F42" s="280">
        <f>SUM(F37:F41)</f>
        <v>17.340233093370859</v>
      </c>
      <c r="G42" s="281">
        <f t="shared" si="6"/>
        <v>60.082326861231863</v>
      </c>
      <c r="H42" s="282">
        <f>-(B42-G42)/B42</f>
        <v>-0.13061025923206371</v>
      </c>
    </row>
    <row r="43" spans="1:8" ht="28.8">
      <c r="A43" s="283" t="s">
        <v>254</v>
      </c>
      <c r="B43" s="284">
        <f>B42/'Prognozy ogolne'!P3</f>
        <v>1.2411749619283723E-2</v>
      </c>
      <c r="C43" s="284">
        <f>C42/'Prognozy ogolne'!D21</f>
        <v>1.2985625958238883E-2</v>
      </c>
      <c r="D43" s="284">
        <f>D42/'Prognozy ogolne'!I21</f>
        <v>1.3605882179634833E-2</v>
      </c>
      <c r="E43" s="279">
        <f>D43/B43-100%</f>
        <v>9.6209849294399685E-2</v>
      </c>
      <c r="F43" s="284">
        <f>F42/'Prognozy ogolne'!I21</f>
        <v>3.0472922695161148E-3</v>
      </c>
      <c r="G43" s="284">
        <f>G42/'Prognozy ogolne'!J21</f>
        <v>1.053646341870349E-2</v>
      </c>
      <c r="H43" s="282">
        <f>-(B43-G43)/B43</f>
        <v>-0.15108959317602277</v>
      </c>
    </row>
    <row r="44" spans="1:8">
      <c r="A44" s="97"/>
      <c r="B44" s="97"/>
      <c r="C44" s="97"/>
      <c r="D44" s="97"/>
      <c r="E44" s="97"/>
      <c r="F44" s="97"/>
      <c r="G44" s="97"/>
      <c r="H44" s="97"/>
    </row>
    <row r="45" spans="1:8">
      <c r="A45" s="491" t="s">
        <v>69</v>
      </c>
      <c r="B45" s="494" t="s">
        <v>258</v>
      </c>
      <c r="C45" s="495"/>
      <c r="D45" s="496"/>
      <c r="E45" s="492" t="s">
        <v>248</v>
      </c>
      <c r="F45" s="492" t="s">
        <v>249</v>
      </c>
      <c r="G45" s="492" t="s">
        <v>250</v>
      </c>
      <c r="H45" s="492" t="s">
        <v>251</v>
      </c>
    </row>
    <row r="46" spans="1:8" ht="124.95" customHeight="1">
      <c r="A46" s="491"/>
      <c r="B46" s="494" t="s">
        <v>252</v>
      </c>
      <c r="C46" s="495"/>
      <c r="D46" s="496"/>
      <c r="E46" s="493"/>
      <c r="F46" s="493"/>
      <c r="G46" s="493"/>
      <c r="H46" s="493"/>
    </row>
    <row r="47" spans="1:8">
      <c r="A47" s="272"/>
      <c r="B47" s="272">
        <v>2010</v>
      </c>
      <c r="C47" s="272">
        <v>2015</v>
      </c>
      <c r="D47" s="272">
        <v>2020</v>
      </c>
      <c r="E47" s="273" t="s">
        <v>253</v>
      </c>
      <c r="F47" s="273" t="s">
        <v>252</v>
      </c>
      <c r="G47" s="273" t="s">
        <v>252</v>
      </c>
      <c r="H47" s="273" t="s">
        <v>253</v>
      </c>
    </row>
    <row r="48" spans="1:8">
      <c r="A48" s="261" t="s">
        <v>70</v>
      </c>
      <c r="B48" s="285">
        <f>'Emisja pozostałych pyłów,gazów'!F12</f>
        <v>0</v>
      </c>
      <c r="C48" s="285">
        <f>'Emisja pozostałych pyłów,gazów'!F15</f>
        <v>0</v>
      </c>
      <c r="D48" s="286">
        <f>C48</f>
        <v>0</v>
      </c>
      <c r="E48" s="275">
        <v>0</v>
      </c>
      <c r="F48" s="287">
        <f>'PLAN DZIAŁAŃ'!L3+'PLAN DZIAŁAŃ'!L4+'PLAN DZIAŁAŃ'!L5+'PLAN DZIAŁAŃ'!L6+'PLAN DZIAŁAŃ'!L7+'PLAN DZIAŁAŃ'!L8</f>
        <v>0</v>
      </c>
      <c r="G48" s="288">
        <f t="shared" ref="G48:G53" si="7">D48-F48</f>
        <v>0</v>
      </c>
      <c r="H48" s="277">
        <v>0</v>
      </c>
    </row>
    <row r="49" spans="1:8">
      <c r="A49" s="261" t="s">
        <v>71</v>
      </c>
      <c r="B49" s="285">
        <f>'Emisja pozostałych pyłów,gazów'!F19+'Emisja pozostałych pyłów,gazów'!F20+'Emisja pozostałych pyłów,gazów'!F21</f>
        <v>2.266992365012567</v>
      </c>
      <c r="C49" s="285">
        <f>'Emisja pozostałych pyłów,gazów'!F24+'Emisja pozostałych pyłów,gazów'!F25+'Emisja pozostałych pyłów,gazów'!F26</f>
        <v>2.356873119572537</v>
      </c>
      <c r="D49" s="289">
        <f>C49*'Prognozy ogolne'!I21/'Prognozy ogolne'!D21</f>
        <v>2.3817243517134381</v>
      </c>
      <c r="E49" s="275">
        <f>D49/B49-100%</f>
        <v>5.0609780814252936E-2</v>
      </c>
      <c r="F49" s="287">
        <f>'PLAN DZIAŁAŃ'!L14</f>
        <v>0.71601208695874541</v>
      </c>
      <c r="G49" s="288">
        <f t="shared" si="7"/>
        <v>1.6657122647546927</v>
      </c>
      <c r="H49" s="277">
        <f>-(B49-G49)/B49</f>
        <v>-0.26523252108726936</v>
      </c>
    </row>
    <row r="50" spans="1:8">
      <c r="A50" s="261" t="s">
        <v>140</v>
      </c>
      <c r="B50" s="285">
        <f>'Emisja pozostałych pyłów,gazów'!F43+'Emisja pozostałych pyłów,gazów'!F44+'Emisja pozostałych pyłów,gazów'!F45</f>
        <v>9.8945972910059743E-3</v>
      </c>
      <c r="C50" s="285">
        <f>'Emisja pozostałych pyłów,gazów'!F48+'Emisja pozostałych pyłów,gazów'!F49+'Emisja pozostałych pyłów,gazów'!F50</f>
        <v>9.5512305128604945E-3</v>
      </c>
      <c r="D50" s="289">
        <f>C50*'Prognoza transport suma'!H4/'Prognoza transport suma'!C4</f>
        <v>1.3161930277200255E-2</v>
      </c>
      <c r="E50" s="275">
        <f>D50/B50-100%</f>
        <v>0.33021384196850856</v>
      </c>
      <c r="F50" s="287">
        <f>'PLAN DZIAŁAŃ'!L10</f>
        <v>4.6646337898168422E-4</v>
      </c>
      <c r="G50" s="288">
        <f t="shared" si="7"/>
        <v>1.269546689821857E-2</v>
      </c>
      <c r="H50" s="277">
        <f>-(B50-G50)/B50</f>
        <v>0.2830706015452028</v>
      </c>
    </row>
    <row r="51" spans="1:8">
      <c r="A51" s="261" t="s">
        <v>73</v>
      </c>
      <c r="B51" s="285">
        <f>0</f>
        <v>0</v>
      </c>
      <c r="C51" s="285">
        <f>0</f>
        <v>0</v>
      </c>
      <c r="D51" s="289">
        <f>C51</f>
        <v>0</v>
      </c>
      <c r="E51" s="275">
        <v>0</v>
      </c>
      <c r="F51" s="287">
        <f>0</f>
        <v>0</v>
      </c>
      <c r="G51" s="288">
        <f t="shared" si="7"/>
        <v>0</v>
      </c>
      <c r="H51" s="277">
        <v>0</v>
      </c>
    </row>
    <row r="52" spans="1:8">
      <c r="A52" s="261" t="s">
        <v>74</v>
      </c>
      <c r="B52" s="285">
        <f>'Emisja pozostałych pyłów,gazów'!F30+'Emisja pozostałych pyłów,gazów'!F31+'Emisja pozostałych pyłów,gazów'!F32+'Emisja pozostałych pyłów,gazów'!F33</f>
        <v>4.000535199410124E-2</v>
      </c>
      <c r="C52" s="285">
        <f>'Emisja pozostałych pyłów,gazów'!F36+'Emisja pozostałych pyłów,gazów'!F37+'Emisja pozostałych pyłów,gazów'!F38+'Emisja pozostałych pyłów,gazów'!F39</f>
        <v>4.3580298342510287E-2</v>
      </c>
      <c r="D52" s="289">
        <f>C52*'Prognozy ogolne'!I89/'Prognozy ogolne'!D89</f>
        <v>4.7621171894599246E-2</v>
      </c>
      <c r="E52" s="275">
        <f>D52/B52-100%</f>
        <v>0.19037002603104081</v>
      </c>
      <c r="F52" s="287">
        <f>'PLAN DZIAŁAŃ'!L16</f>
        <v>7.3593118958901671E-3</v>
      </c>
      <c r="G52" s="288">
        <f t="shared" si="7"/>
        <v>4.0261859998709078E-2</v>
      </c>
      <c r="H52" s="277">
        <f>-(B52-G52)/B52</f>
        <v>6.4118422116535654E-3</v>
      </c>
    </row>
    <row r="53" spans="1:8">
      <c r="A53" s="261" t="s">
        <v>0</v>
      </c>
      <c r="B53" s="290">
        <f>SUM(B48:B52)</f>
        <v>2.3168923142976743</v>
      </c>
      <c r="C53" s="290">
        <f>SUM(C48:C52)</f>
        <v>2.4100046484279076</v>
      </c>
      <c r="D53" s="290">
        <f>SUM(D48:D52)</f>
        <v>2.4425074538852378</v>
      </c>
      <c r="E53" s="279">
        <f>D53/B53-100%</f>
        <v>5.4217081567574432E-2</v>
      </c>
      <c r="F53" s="291">
        <f>SUM(F48:F52)</f>
        <v>0.72383786223361724</v>
      </c>
      <c r="G53" s="292">
        <f t="shared" si="7"/>
        <v>1.7186695916516206</v>
      </c>
      <c r="H53" s="282">
        <f>-(B53-G53)/B53</f>
        <v>-0.25820048646818294</v>
      </c>
    </row>
    <row r="54" spans="1:8" ht="28.8">
      <c r="A54" s="283" t="s">
        <v>254</v>
      </c>
      <c r="B54" s="293">
        <f>B53/'Prognozy ogolne'!P3</f>
        <v>4.1610853345863403E-4</v>
      </c>
      <c r="C54" s="293">
        <f>C53/'Prognozy ogolne'!D21</f>
        <v>4.2798874949882929E-4</v>
      </c>
      <c r="D54" s="293">
        <f>D53/'Prognozy ogolne'!I21</f>
        <v>4.2923494986381886E-4</v>
      </c>
      <c r="E54" s="279">
        <f>D54/B54-100%</f>
        <v>3.154565539927745E-2</v>
      </c>
      <c r="F54" s="292">
        <f>F53/'Prognozy ogolne'!I21</f>
        <v>1.2720391416253942E-4</v>
      </c>
      <c r="G54" s="292">
        <f>G53/'Prognozy ogolne'!J21</f>
        <v>3.0139810202590555E-4</v>
      </c>
      <c r="H54" s="282">
        <f>-(B54-G54)/B54</f>
        <v>-0.27567430660282771</v>
      </c>
    </row>
  </sheetData>
  <mergeCells count="35">
    <mergeCell ref="H45:H46"/>
    <mergeCell ref="B46:D46"/>
    <mergeCell ref="A34:A35"/>
    <mergeCell ref="B34:D34"/>
    <mergeCell ref="E34:E35"/>
    <mergeCell ref="F34:F35"/>
    <mergeCell ref="G34:G35"/>
    <mergeCell ref="H34:H35"/>
    <mergeCell ref="B35:D35"/>
    <mergeCell ref="A45:A46"/>
    <mergeCell ref="B45:D45"/>
    <mergeCell ref="E45:E46"/>
    <mergeCell ref="F45:F46"/>
    <mergeCell ref="G45:G46"/>
    <mergeCell ref="H23:H24"/>
    <mergeCell ref="B24:D24"/>
    <mergeCell ref="A12:A13"/>
    <mergeCell ref="B12:D12"/>
    <mergeCell ref="E12:E13"/>
    <mergeCell ref="F12:F13"/>
    <mergeCell ref="G12:G13"/>
    <mergeCell ref="H12:H13"/>
    <mergeCell ref="B13:D13"/>
    <mergeCell ref="A23:A24"/>
    <mergeCell ref="B23:D23"/>
    <mergeCell ref="E23:E24"/>
    <mergeCell ref="F23:F24"/>
    <mergeCell ref="G23:G24"/>
    <mergeCell ref="H1:H2"/>
    <mergeCell ref="B2:D2"/>
    <mergeCell ref="A1:A2"/>
    <mergeCell ref="B1:D1"/>
    <mergeCell ref="E1:E2"/>
    <mergeCell ref="F1:F2"/>
    <mergeCell ref="G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23</vt:i4>
      </vt:variant>
      <vt:variant>
        <vt:lpstr>Zakresy nazwane</vt:lpstr>
      </vt:variant>
      <vt:variant>
        <vt:i4>22</vt:i4>
      </vt:variant>
    </vt:vector>
  </HeadingPairs>
  <TitlesOfParts>
    <vt:vector size="45" baseType="lpstr">
      <vt:lpstr>STRONA</vt:lpstr>
      <vt:lpstr>Wskaźniki emisji 2010r</vt:lpstr>
      <vt:lpstr>Wskaźniki emisji 2015r</vt:lpstr>
      <vt:lpstr>Obiekty publiczne 2010r</vt:lpstr>
      <vt:lpstr>Obiekty publiczne 2015r</vt:lpstr>
      <vt:lpstr>Podsumowanie- Obiekty publiczne</vt:lpstr>
      <vt:lpstr>Transport- rok bazowy </vt:lpstr>
      <vt:lpstr>Transport- rok kontrolny</vt:lpstr>
      <vt:lpstr>Owietlenie uliczne</vt:lpstr>
      <vt:lpstr>Obiekty prywatne</vt:lpstr>
      <vt:lpstr>Podsumowanie- Obiekty prywatne</vt:lpstr>
      <vt:lpstr>Przedsiębiorcy 2010 r.</vt:lpstr>
      <vt:lpstr>Przedsiębiorcy 2015 r.</vt:lpstr>
      <vt:lpstr>Podsumowanie- Przedsiębiorcy</vt:lpstr>
      <vt:lpstr>Podsumowanie</vt:lpstr>
      <vt:lpstr>PLAN DZIAŁAŃ</vt:lpstr>
      <vt:lpstr>Prognozy ogolne</vt:lpstr>
      <vt:lpstr>Prognoza transport lokalny</vt:lpstr>
      <vt:lpstr>Prognoza transport suma</vt:lpstr>
      <vt:lpstr>Prognozy podsumowanie</vt:lpstr>
      <vt:lpstr>Prognoza OZE</vt:lpstr>
      <vt:lpstr>Emisja pozostałych pyłów,gazów</vt:lpstr>
      <vt:lpstr>Prognoza emisji innych gazów</vt:lpstr>
      <vt:lpstr>'Emisja pozostałych pyłów,gazów'!Obszar_wydruku</vt:lpstr>
      <vt:lpstr>'Obiekty prywatne'!Obszar_wydruku</vt:lpstr>
      <vt:lpstr>'Obiekty publiczne 2010r'!Obszar_wydruku</vt:lpstr>
      <vt:lpstr>'Obiekty publiczne 2015r'!Obszar_wydruku</vt:lpstr>
      <vt:lpstr>'Owietlenie uliczne'!Obszar_wydruku</vt:lpstr>
      <vt:lpstr>'PLAN DZIAŁAŃ'!Obszar_wydruku</vt:lpstr>
      <vt:lpstr>Podsumowanie!Obszar_wydruku</vt:lpstr>
      <vt:lpstr>'Podsumowanie- Obiekty prywatne'!Obszar_wydruku</vt:lpstr>
      <vt:lpstr>'Podsumowanie- Obiekty publiczne'!Obszar_wydruku</vt:lpstr>
      <vt:lpstr>'Podsumowanie- Przedsiębiorcy'!Obszar_wydruku</vt:lpstr>
      <vt:lpstr>'Prognoza emisji innych gazów'!Obszar_wydruku</vt:lpstr>
      <vt:lpstr>'Prognoza transport lokalny'!Obszar_wydruku</vt:lpstr>
      <vt:lpstr>'Prognoza transport suma'!Obszar_wydruku</vt:lpstr>
      <vt:lpstr>'Prognozy ogolne'!Obszar_wydruku</vt:lpstr>
      <vt:lpstr>'Prognozy podsumowanie'!Obszar_wydruku</vt:lpstr>
      <vt:lpstr>'Przedsiębiorcy 2010 r.'!Obszar_wydruku</vt:lpstr>
      <vt:lpstr>'Przedsiębiorcy 2015 r.'!Obszar_wydruku</vt:lpstr>
      <vt:lpstr>STRONA!Obszar_wydruku</vt:lpstr>
      <vt:lpstr>'Transport- rok bazowy '!Obszar_wydruku</vt:lpstr>
      <vt:lpstr>'Transport- rok kontrolny'!Obszar_wydruku</vt:lpstr>
      <vt:lpstr>'Wskaźniki emisji 2010r'!Obszar_wydruku</vt:lpstr>
      <vt:lpstr>'Wskaźniki emisji 2015r'!Obszar_wydruku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2016-09-03T21:23:04Z</dcterms:modified>
</cp:coreProperties>
</file>